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ЭтаКнига" defaultThemeVersion="124226"/>
  <bookViews>
    <workbookView xWindow="240" yWindow="525" windowWidth="14805" windowHeight="7590" firstSheet="5" activeTab="5"/>
  </bookViews>
  <sheets>
    <sheet name="Прогноз хар-к" sheetId="4" state="hidden" r:id="rId1"/>
    <sheet name="Прогноз хар-к 05.2019" sheetId="5" state="hidden" r:id="rId2"/>
    <sheet name="Прогноз хар-к 06.2019" sheetId="6" state="hidden" r:id="rId3"/>
    <sheet name="Прогноз хар-к 09.2019" sheetId="7" state="hidden" r:id="rId4"/>
    <sheet name="Приложение №3 к МП" sheetId="8" state="hidden" r:id="rId5"/>
    <sheet name="Пр №3 к МП" sheetId="9" r:id="rId6"/>
  </sheets>
  <definedNames>
    <definedName name="_xlnm.Print_Titles" localSheetId="5">'Пр №3 к МП'!$11:$14</definedName>
    <definedName name="_xlnm.Print_Titles" localSheetId="4">'Приложение №3 к МП'!$8:$11</definedName>
    <definedName name="_xlnm.Print_Area" localSheetId="5">'Пр №3 к МП'!$A$1:$K$93</definedName>
    <definedName name="_xlnm.Print_Area" localSheetId="4">'Приложение №3 к МП'!$A$1:$K$68</definedName>
    <definedName name="_xlnm.Print_Area" localSheetId="0">'Прогноз хар-к'!$B$1:$I$7</definedName>
    <definedName name="_xlnm.Print_Area" localSheetId="1">'Прогноз хар-к 05.2019'!$A$1:$K$60</definedName>
    <definedName name="_xlnm.Print_Area" localSheetId="2">'Прогноз хар-к 06.2019'!$A$1:$K$60</definedName>
    <definedName name="_xlnm.Print_Area" localSheetId="3">'Прогноз хар-к 09.2019'!$A$1:$L$60</definedName>
  </definedNames>
  <calcPr calcId="145621" fullCalcOnLoad="1"/>
</workbook>
</file>

<file path=xl/calcChain.xml><?xml version="1.0" encoding="utf-8"?>
<calcChain xmlns="http://schemas.openxmlformats.org/spreadsheetml/2006/main">
  <c r="F69" i="9" l="1"/>
  <c r="G77" i="9"/>
  <c r="F77" i="9"/>
  <c r="G57" i="9"/>
  <c r="F57" i="9"/>
  <c r="G45" i="9"/>
  <c r="F45" i="9"/>
  <c r="F37" i="9"/>
  <c r="F21" i="9"/>
  <c r="J16" i="9"/>
  <c r="I16" i="9"/>
  <c r="H16" i="9"/>
  <c r="G16" i="9"/>
  <c r="F16" i="9"/>
  <c r="K34" i="9"/>
  <c r="K33" i="9"/>
  <c r="K32" i="9"/>
  <c r="J31" i="9"/>
  <c r="I31" i="9"/>
  <c r="H31" i="9"/>
  <c r="G31" i="9"/>
  <c r="F31" i="9"/>
  <c r="E78" i="9"/>
  <c r="E50" i="9"/>
  <c r="E18" i="9"/>
  <c r="E26" i="9"/>
  <c r="F78" i="9"/>
  <c r="F50" i="9"/>
  <c r="F36" i="9"/>
  <c r="F35" i="9"/>
  <c r="F46" i="9"/>
  <c r="F18" i="9"/>
  <c r="F26" i="9"/>
  <c r="J22" i="9"/>
  <c r="I22" i="9"/>
  <c r="H22" i="9"/>
  <c r="G22" i="9"/>
  <c r="J21" i="9"/>
  <c r="I21" i="9"/>
  <c r="H21" i="9"/>
  <c r="H19" i="9"/>
  <c r="G21" i="9"/>
  <c r="J20" i="9"/>
  <c r="I20" i="9"/>
  <c r="I19" i="9"/>
  <c r="H20" i="9"/>
  <c r="H24" i="9"/>
  <c r="G20" i="9"/>
  <c r="G24" i="9"/>
  <c r="F22" i="9"/>
  <c r="F79" i="9"/>
  <c r="K82" i="9"/>
  <c r="K81" i="9"/>
  <c r="K80" i="9"/>
  <c r="K79" i="9"/>
  <c r="K54" i="9"/>
  <c r="K53" i="9"/>
  <c r="K52" i="9"/>
  <c r="K51" i="9"/>
  <c r="F51" i="9"/>
  <c r="E65" i="9"/>
  <c r="E61" i="9"/>
  <c r="E77" i="9"/>
  <c r="E67" i="9"/>
  <c r="J24" i="9"/>
  <c r="E49" i="9"/>
  <c r="E47" i="9"/>
  <c r="G85" i="9"/>
  <c r="G17" i="9"/>
  <c r="G25" i="9"/>
  <c r="G83" i="9"/>
  <c r="F85" i="9"/>
  <c r="F83" i="9"/>
  <c r="E85" i="9"/>
  <c r="H41" i="9"/>
  <c r="F27" i="9"/>
  <c r="E28" i="9"/>
  <c r="E16" i="9"/>
  <c r="E29" i="9"/>
  <c r="E17" i="9"/>
  <c r="E25" i="9"/>
  <c r="G42" i="9"/>
  <c r="H42" i="9"/>
  <c r="K40" i="9"/>
  <c r="F39" i="9"/>
  <c r="E39" i="9"/>
  <c r="G78" i="9"/>
  <c r="H78" i="9"/>
  <c r="H69" i="9"/>
  <c r="H65" i="9"/>
  <c r="I65" i="9"/>
  <c r="H61" i="9"/>
  <c r="G58" i="9"/>
  <c r="H58" i="9"/>
  <c r="G50" i="9"/>
  <c r="H49" i="9"/>
  <c r="H17" i="9"/>
  <c r="I49" i="9"/>
  <c r="K49" i="9"/>
  <c r="H86" i="9"/>
  <c r="I86" i="9"/>
  <c r="H74" i="9"/>
  <c r="H70" i="9"/>
  <c r="H66" i="9"/>
  <c r="I66" i="9"/>
  <c r="J66" i="9"/>
  <c r="K66" i="9"/>
  <c r="K84" i="9"/>
  <c r="K72" i="9"/>
  <c r="K68" i="9"/>
  <c r="K64" i="9"/>
  <c r="K56" i="9"/>
  <c r="K48" i="9"/>
  <c r="K38" i="9"/>
  <c r="K36" i="9"/>
  <c r="K20" i="9"/>
  <c r="K30" i="9"/>
  <c r="E27" i="9"/>
  <c r="K76" i="9"/>
  <c r="K44" i="9"/>
  <c r="E21" i="9"/>
  <c r="E22" i="9"/>
  <c r="E19" i="9"/>
  <c r="E20" i="9"/>
  <c r="F63" i="9"/>
  <c r="E63" i="9"/>
  <c r="F59" i="9"/>
  <c r="F55" i="9"/>
  <c r="E55" i="9"/>
  <c r="F47" i="9"/>
  <c r="G35" i="9"/>
  <c r="H35" i="9"/>
  <c r="I35" i="9"/>
  <c r="J35" i="9"/>
  <c r="E35" i="9"/>
  <c r="H27" i="9"/>
  <c r="I27" i="9"/>
  <c r="J27" i="9"/>
  <c r="F71" i="9"/>
  <c r="G71" i="9"/>
  <c r="E71" i="9"/>
  <c r="F75" i="9"/>
  <c r="K73" i="9"/>
  <c r="K60" i="9"/>
  <c r="F67" i="9"/>
  <c r="G67" i="9"/>
  <c r="G62" i="9"/>
  <c r="G59" i="9"/>
  <c r="I61" i="9"/>
  <c r="J61" i="9"/>
  <c r="G63" i="9"/>
  <c r="F60" i="8"/>
  <c r="E60" i="8"/>
  <c r="K56" i="8"/>
  <c r="K55" i="8"/>
  <c r="K54" i="8"/>
  <c r="K53" i="8"/>
  <c r="J52" i="8"/>
  <c r="I52" i="8"/>
  <c r="H52" i="8"/>
  <c r="G52" i="8"/>
  <c r="F52" i="8"/>
  <c r="E52" i="8"/>
  <c r="F61" i="8"/>
  <c r="E61" i="8"/>
  <c r="I59" i="8"/>
  <c r="H59" i="8"/>
  <c r="G59" i="8"/>
  <c r="F59" i="8"/>
  <c r="E59" i="8"/>
  <c r="J58" i="8"/>
  <c r="I58" i="8"/>
  <c r="H58" i="8"/>
  <c r="G58" i="8"/>
  <c r="F58" i="8"/>
  <c r="K58" i="8"/>
  <c r="E58" i="8"/>
  <c r="G51" i="8"/>
  <c r="G50" i="8"/>
  <c r="H50" i="8"/>
  <c r="I50" i="8"/>
  <c r="J49" i="8"/>
  <c r="K49" i="8"/>
  <c r="K48" i="8"/>
  <c r="F47" i="8"/>
  <c r="F57" i="8"/>
  <c r="E47" i="8"/>
  <c r="K46" i="8"/>
  <c r="K45" i="8"/>
  <c r="K44" i="8"/>
  <c r="K42" i="8"/>
  <c r="K43" i="8"/>
  <c r="J42" i="8"/>
  <c r="I42" i="8"/>
  <c r="H42" i="8"/>
  <c r="G42" i="8"/>
  <c r="F42" i="8"/>
  <c r="E42" i="8"/>
  <c r="K41" i="8"/>
  <c r="H40" i="8"/>
  <c r="H37" i="8"/>
  <c r="K39" i="8"/>
  <c r="K37" i="8"/>
  <c r="K38" i="8"/>
  <c r="G37" i="8"/>
  <c r="F37" i="8"/>
  <c r="E37" i="8"/>
  <c r="K36" i="8"/>
  <c r="H35" i="8"/>
  <c r="F32" i="8"/>
  <c r="E32" i="8"/>
  <c r="E57" i="8"/>
  <c r="K31" i="8"/>
  <c r="H30" i="8"/>
  <c r="K29" i="8"/>
  <c r="K28" i="8"/>
  <c r="G27" i="8"/>
  <c r="F27" i="8"/>
  <c r="E27" i="8"/>
  <c r="K26" i="8"/>
  <c r="G25" i="8"/>
  <c r="H25" i="8"/>
  <c r="J24" i="8"/>
  <c r="K24" i="8"/>
  <c r="K23" i="8"/>
  <c r="F22" i="8"/>
  <c r="E22" i="8"/>
  <c r="K19" i="8"/>
  <c r="K17" i="8"/>
  <c r="K18" i="8"/>
  <c r="F17" i="8"/>
  <c r="E17" i="8"/>
  <c r="G16" i="8"/>
  <c r="H16" i="8"/>
  <c r="G15" i="8"/>
  <c r="K14" i="8"/>
  <c r="K13" i="8"/>
  <c r="F12" i="8"/>
  <c r="E12" i="8"/>
  <c r="H54" i="7"/>
  <c r="E60" i="7"/>
  <c r="E59" i="7"/>
  <c r="E58" i="7"/>
  <c r="E57" i="7"/>
  <c r="E51" i="7"/>
  <c r="E46" i="7"/>
  <c r="E41" i="7"/>
  <c r="E36" i="7"/>
  <c r="E31" i="7"/>
  <c r="E26" i="7"/>
  <c r="E21" i="7"/>
  <c r="E56" i="7"/>
  <c r="E16" i="7"/>
  <c r="G22" i="8"/>
  <c r="G17" i="8"/>
  <c r="G47" i="8"/>
  <c r="G60" i="8"/>
  <c r="G32" i="8"/>
  <c r="G12" i="8"/>
  <c r="G57" i="8"/>
  <c r="H15" i="8"/>
  <c r="K52" i="8"/>
  <c r="I30" i="8"/>
  <c r="H27" i="8"/>
  <c r="I35" i="8"/>
  <c r="J35" i="8"/>
  <c r="H32" i="8"/>
  <c r="H20" i="8"/>
  <c r="K21" i="8"/>
  <c r="H51" i="8"/>
  <c r="I51" i="8"/>
  <c r="J59" i="8"/>
  <c r="K59" i="8"/>
  <c r="I40" i="8"/>
  <c r="G60" i="7"/>
  <c r="F60" i="7"/>
  <c r="G59" i="7"/>
  <c r="F59" i="7"/>
  <c r="F62" i="7"/>
  <c r="J58" i="7"/>
  <c r="I58" i="7"/>
  <c r="H58" i="7"/>
  <c r="G58" i="7"/>
  <c r="F58" i="7"/>
  <c r="K57" i="7"/>
  <c r="J57" i="7"/>
  <c r="I57" i="7"/>
  <c r="L57" i="7"/>
  <c r="H57" i="7"/>
  <c r="G57" i="7"/>
  <c r="F57" i="7"/>
  <c r="H55" i="7"/>
  <c r="H51" i="7"/>
  <c r="I54" i="7"/>
  <c r="K53" i="7"/>
  <c r="L53" i="7"/>
  <c r="L52" i="7"/>
  <c r="G51" i="7"/>
  <c r="F51" i="7"/>
  <c r="L50" i="7"/>
  <c r="L49" i="7"/>
  <c r="L48" i="7"/>
  <c r="L47" i="7"/>
  <c r="K46" i="7"/>
  <c r="J46" i="7"/>
  <c r="I46" i="7"/>
  <c r="H46" i="7"/>
  <c r="G46" i="7"/>
  <c r="F46" i="7"/>
  <c r="L45" i="7"/>
  <c r="I44" i="7"/>
  <c r="I41" i="7"/>
  <c r="L43" i="7"/>
  <c r="L42" i="7"/>
  <c r="H41" i="7"/>
  <c r="G41" i="7"/>
  <c r="F41" i="7"/>
  <c r="L40" i="7"/>
  <c r="H39" i="7"/>
  <c r="I39" i="7"/>
  <c r="J39" i="7"/>
  <c r="G36" i="7"/>
  <c r="F36" i="7"/>
  <c r="L35" i="7"/>
  <c r="H34" i="7"/>
  <c r="L33" i="7"/>
  <c r="L32" i="7"/>
  <c r="G31" i="7"/>
  <c r="F31" i="7"/>
  <c r="L30" i="7"/>
  <c r="H29" i="7"/>
  <c r="I29" i="7"/>
  <c r="K28" i="7"/>
  <c r="K58" i="7"/>
  <c r="L27" i="7"/>
  <c r="G26" i="7"/>
  <c r="G56" i="7"/>
  <c r="F26" i="7"/>
  <c r="H25" i="7"/>
  <c r="H24" i="7"/>
  <c r="I24" i="7"/>
  <c r="J24" i="7"/>
  <c r="L23" i="7"/>
  <c r="L22" i="7"/>
  <c r="H21" i="7"/>
  <c r="G21" i="7"/>
  <c r="F21" i="7"/>
  <c r="H20" i="7"/>
  <c r="H19" i="7"/>
  <c r="L18" i="7"/>
  <c r="L17" i="7"/>
  <c r="G16" i="7"/>
  <c r="F16" i="7"/>
  <c r="F56" i="7"/>
  <c r="D7" i="7"/>
  <c r="G5" i="7"/>
  <c r="F60" i="6"/>
  <c r="E60" i="6"/>
  <c r="F59" i="6"/>
  <c r="E59" i="6"/>
  <c r="I58" i="6"/>
  <c r="H58" i="6"/>
  <c r="K58" i="6"/>
  <c r="G58" i="6"/>
  <c r="F58" i="6"/>
  <c r="E58" i="6"/>
  <c r="J57" i="6"/>
  <c r="I57" i="6"/>
  <c r="H57" i="6"/>
  <c r="G57" i="6"/>
  <c r="F57" i="6"/>
  <c r="K57" i="6"/>
  <c r="E57" i="6"/>
  <c r="G55" i="6"/>
  <c r="H54" i="6"/>
  <c r="J53" i="6"/>
  <c r="K53" i="6"/>
  <c r="K52" i="6"/>
  <c r="G51" i="6"/>
  <c r="F51" i="6"/>
  <c r="F56" i="6"/>
  <c r="E51" i="6"/>
  <c r="K50" i="6"/>
  <c r="K49" i="6"/>
  <c r="K48" i="6"/>
  <c r="K47" i="6"/>
  <c r="J46" i="6"/>
  <c r="I46" i="6"/>
  <c r="H46" i="6"/>
  <c r="G46" i="6"/>
  <c r="F46" i="6"/>
  <c r="E46" i="6"/>
  <c r="K45" i="6"/>
  <c r="H44" i="6"/>
  <c r="H41" i="6"/>
  <c r="K43" i="6"/>
  <c r="K42" i="6"/>
  <c r="K41" i="6"/>
  <c r="G41" i="6"/>
  <c r="F41" i="6"/>
  <c r="E41" i="6"/>
  <c r="K40" i="6"/>
  <c r="G39" i="6"/>
  <c r="H39" i="6"/>
  <c r="I39" i="6"/>
  <c r="G36" i="6"/>
  <c r="F36" i="6"/>
  <c r="E36" i="6"/>
  <c r="K35" i="6"/>
  <c r="G34" i="6"/>
  <c r="K33" i="6"/>
  <c r="K32" i="6"/>
  <c r="F31" i="6"/>
  <c r="E31" i="6"/>
  <c r="K30" i="6"/>
  <c r="G29" i="6"/>
  <c r="H29" i="6"/>
  <c r="J28" i="6"/>
  <c r="K27" i="6"/>
  <c r="F26" i="6"/>
  <c r="E26" i="6"/>
  <c r="G25" i="6"/>
  <c r="G21" i="6"/>
  <c r="G24" i="6"/>
  <c r="H24" i="6"/>
  <c r="K23" i="6"/>
  <c r="K22" i="6"/>
  <c r="F21" i="6"/>
  <c r="E21" i="6"/>
  <c r="G20" i="6"/>
  <c r="H20" i="6"/>
  <c r="G19" i="6"/>
  <c r="G59" i="6"/>
  <c r="K18" i="6"/>
  <c r="K17" i="6"/>
  <c r="F16" i="6"/>
  <c r="E16" i="6"/>
  <c r="E56" i="6"/>
  <c r="D7" i="6"/>
  <c r="J7" i="6"/>
  <c r="K8" i="6"/>
  <c r="F5" i="6"/>
  <c r="D7" i="5"/>
  <c r="G55" i="5"/>
  <c r="H55" i="5"/>
  <c r="I55" i="5"/>
  <c r="H54" i="5"/>
  <c r="I54" i="5"/>
  <c r="J54" i="5"/>
  <c r="H44" i="5"/>
  <c r="I44" i="5"/>
  <c r="J44" i="5"/>
  <c r="G39" i="5"/>
  <c r="H39" i="5"/>
  <c r="I39" i="5"/>
  <c r="J39" i="5"/>
  <c r="K39" i="5"/>
  <c r="G34" i="5"/>
  <c r="H34" i="5"/>
  <c r="G25" i="5"/>
  <c r="H25" i="5"/>
  <c r="G29" i="5"/>
  <c r="H29" i="5"/>
  <c r="G24" i="5"/>
  <c r="H24" i="5"/>
  <c r="G20" i="5"/>
  <c r="H20" i="5"/>
  <c r="G19" i="5"/>
  <c r="H19" i="5"/>
  <c r="G26" i="6"/>
  <c r="J58" i="6"/>
  <c r="K46" i="6"/>
  <c r="H59" i="7"/>
  <c r="H63" i="7"/>
  <c r="H60" i="7"/>
  <c r="I20" i="7"/>
  <c r="L28" i="7"/>
  <c r="H36" i="7"/>
  <c r="L46" i="7"/>
  <c r="K28" i="6"/>
  <c r="I15" i="8"/>
  <c r="I20" i="8"/>
  <c r="H17" i="8"/>
  <c r="H47" i="8"/>
  <c r="I37" i="8"/>
  <c r="J40" i="8"/>
  <c r="J37" i="8"/>
  <c r="J30" i="8"/>
  <c r="I27" i="8"/>
  <c r="J29" i="7"/>
  <c r="K29" i="7"/>
  <c r="K26" i="7"/>
  <c r="I26" i="7"/>
  <c r="H26" i="7"/>
  <c r="L58" i="7"/>
  <c r="H5" i="7"/>
  <c r="H16" i="7"/>
  <c r="H56" i="7"/>
  <c r="I19" i="7"/>
  <c r="J20" i="7"/>
  <c r="I25" i="7"/>
  <c r="J25" i="7"/>
  <c r="H31" i="7"/>
  <c r="I34" i="7"/>
  <c r="I36" i="7"/>
  <c r="J44" i="7"/>
  <c r="J54" i="7"/>
  <c r="I55" i="7"/>
  <c r="J55" i="7"/>
  <c r="G5" i="6"/>
  <c r="H19" i="6"/>
  <c r="G31" i="6"/>
  <c r="H34" i="6"/>
  <c r="H36" i="6"/>
  <c r="I44" i="6"/>
  <c r="I54" i="6"/>
  <c r="H55" i="6"/>
  <c r="I55" i="6"/>
  <c r="I58" i="5"/>
  <c r="H58" i="5"/>
  <c r="G58" i="5"/>
  <c r="J57" i="5"/>
  <c r="I57" i="5"/>
  <c r="H57" i="5"/>
  <c r="G57" i="5"/>
  <c r="F60" i="5"/>
  <c r="E60" i="5"/>
  <c r="F59" i="5"/>
  <c r="E59" i="5"/>
  <c r="F58" i="5"/>
  <c r="E58" i="5"/>
  <c r="F57" i="5"/>
  <c r="E57" i="5"/>
  <c r="F51" i="5"/>
  <c r="E51" i="5"/>
  <c r="F46" i="5"/>
  <c r="E46" i="5"/>
  <c r="F41" i="5"/>
  <c r="E41" i="5"/>
  <c r="F36" i="5"/>
  <c r="E36" i="5"/>
  <c r="F31" i="5"/>
  <c r="E31" i="5"/>
  <c r="E56" i="5"/>
  <c r="F26" i="5"/>
  <c r="E26" i="5"/>
  <c r="F21" i="5"/>
  <c r="E21" i="5"/>
  <c r="F16" i="5"/>
  <c r="F56" i="5"/>
  <c r="E16" i="5"/>
  <c r="I21" i="7"/>
  <c r="I56" i="7"/>
  <c r="I51" i="7"/>
  <c r="K57" i="5"/>
  <c r="H51" i="6"/>
  <c r="J26" i="7"/>
  <c r="J15" i="8"/>
  <c r="J20" i="8"/>
  <c r="I17" i="8"/>
  <c r="J27" i="8"/>
  <c r="K30" i="8"/>
  <c r="K27" i="8"/>
  <c r="K40" i="8"/>
  <c r="K44" i="7"/>
  <c r="K41" i="7"/>
  <c r="J41" i="7"/>
  <c r="J34" i="7"/>
  <c r="I31" i="7"/>
  <c r="J19" i="7"/>
  <c r="I16" i="7"/>
  <c r="I5" i="7"/>
  <c r="I60" i="7"/>
  <c r="K54" i="7"/>
  <c r="K20" i="7"/>
  <c r="L29" i="7"/>
  <c r="L26" i="7"/>
  <c r="J44" i="6"/>
  <c r="J41" i="6"/>
  <c r="I41" i="6"/>
  <c r="I34" i="6"/>
  <c r="H31" i="6"/>
  <c r="I19" i="6"/>
  <c r="H5" i="6"/>
  <c r="J53" i="5"/>
  <c r="K52" i="5"/>
  <c r="H51" i="5"/>
  <c r="G51" i="5"/>
  <c r="K50" i="5"/>
  <c r="K49" i="5"/>
  <c r="K48" i="5"/>
  <c r="K46" i="5"/>
  <c r="K47" i="5"/>
  <c r="J46" i="5"/>
  <c r="I46" i="5"/>
  <c r="H46" i="5"/>
  <c r="G46" i="5"/>
  <c r="K45" i="5"/>
  <c r="K44" i="5"/>
  <c r="K43" i="5"/>
  <c r="K41" i="5"/>
  <c r="K42" i="5"/>
  <c r="J41" i="5"/>
  <c r="I41" i="5"/>
  <c r="H41" i="5"/>
  <c r="G41" i="5"/>
  <c r="K40" i="5"/>
  <c r="I36" i="5"/>
  <c r="H36" i="5"/>
  <c r="G36" i="5"/>
  <c r="K35" i="5"/>
  <c r="K33" i="5"/>
  <c r="K32" i="5"/>
  <c r="G31" i="5"/>
  <c r="K30" i="5"/>
  <c r="J28" i="5"/>
  <c r="G26" i="5"/>
  <c r="G60" i="5"/>
  <c r="K23" i="5"/>
  <c r="K22" i="5"/>
  <c r="G16" i="5"/>
  <c r="F5" i="5"/>
  <c r="F5" i="4"/>
  <c r="G5" i="4"/>
  <c r="H5" i="4"/>
  <c r="I5" i="4"/>
  <c r="L54" i="7"/>
  <c r="K44" i="6"/>
  <c r="L44" i="7"/>
  <c r="L41" i="7"/>
  <c r="G5" i="5"/>
  <c r="K15" i="8"/>
  <c r="J17" i="8"/>
  <c r="K20" i="8"/>
  <c r="J5" i="7"/>
  <c r="L20" i="7"/>
  <c r="K19" i="7"/>
  <c r="L19" i="7"/>
  <c r="L16" i="7"/>
  <c r="J16" i="7"/>
  <c r="K34" i="7"/>
  <c r="J31" i="7"/>
  <c r="I5" i="6"/>
  <c r="J19" i="6"/>
  <c r="K19" i="6"/>
  <c r="J34" i="6"/>
  <c r="I31" i="6"/>
  <c r="G59" i="5"/>
  <c r="G63" i="5"/>
  <c r="K17" i="5"/>
  <c r="G21" i="5"/>
  <c r="G56" i="5"/>
  <c r="K28" i="5"/>
  <c r="K27" i="5"/>
  <c r="K18" i="5"/>
  <c r="H5" i="5"/>
  <c r="K31" i="7"/>
  <c r="L34" i="7"/>
  <c r="L31" i="7"/>
  <c r="K16" i="7"/>
  <c r="K7" i="7"/>
  <c r="L8" i="7"/>
  <c r="J31" i="6"/>
  <c r="K34" i="6"/>
  <c r="K31" i="6"/>
  <c r="I5" i="5"/>
  <c r="J7" i="5"/>
  <c r="K8" i="5"/>
  <c r="I41" i="9"/>
  <c r="I69" i="9"/>
  <c r="I67" i="9"/>
  <c r="G75" i="9"/>
  <c r="H71" i="9"/>
  <c r="K28" i="9"/>
  <c r="K16" i="9"/>
  <c r="H62" i="9"/>
  <c r="I62" i="9"/>
  <c r="J86" i="9"/>
  <c r="K86" i="9"/>
  <c r="H67" i="9"/>
  <c r="K29" i="9"/>
  <c r="G27" i="9"/>
  <c r="E43" i="9"/>
  <c r="F43" i="9"/>
  <c r="G55" i="9"/>
  <c r="G46" i="9"/>
  <c r="G18" i="9"/>
  <c r="G26" i="9"/>
  <c r="I70" i="9"/>
  <c r="H85" i="9"/>
  <c r="J45" i="9"/>
  <c r="I74" i="9"/>
  <c r="J74" i="9"/>
  <c r="E83" i="9"/>
  <c r="H59" i="9"/>
  <c r="K27" i="9"/>
  <c r="I85" i="9"/>
  <c r="J85" i="9"/>
  <c r="J83" i="9"/>
  <c r="H83" i="9"/>
  <c r="J70" i="9"/>
  <c r="I71" i="9"/>
  <c r="K70" i="9"/>
  <c r="I83" i="9"/>
  <c r="E75" i="9"/>
  <c r="G19" i="9"/>
  <c r="J19" i="9"/>
  <c r="J77" i="9"/>
  <c r="K77" i="9"/>
  <c r="K75" i="9"/>
  <c r="K22" i="9"/>
  <c r="J57" i="9"/>
  <c r="J55" i="9"/>
  <c r="J49" i="9"/>
  <c r="I58" i="9"/>
  <c r="H55" i="9"/>
  <c r="G43" i="9"/>
  <c r="H46" i="9"/>
  <c r="H18" i="9"/>
  <c r="H26" i="9"/>
  <c r="K45" i="9"/>
  <c r="H43" i="9"/>
  <c r="J58" i="9"/>
  <c r="I55" i="9"/>
  <c r="K58" i="9"/>
  <c r="H75" i="9"/>
  <c r="I78" i="9"/>
  <c r="I24" i="9"/>
  <c r="G47" i="9"/>
  <c r="H50" i="9"/>
  <c r="K31" i="9"/>
  <c r="E31" i="9"/>
  <c r="J78" i="9"/>
  <c r="K78" i="9"/>
  <c r="I75" i="9"/>
  <c r="I50" i="9"/>
  <c r="J50" i="9"/>
  <c r="K50" i="9"/>
  <c r="H47" i="9"/>
  <c r="F17" i="9"/>
  <c r="F25" i="9"/>
  <c r="J51" i="8"/>
  <c r="K51" i="8"/>
  <c r="K47" i="9"/>
  <c r="I20" i="5"/>
  <c r="H60" i="5"/>
  <c r="I20" i="6"/>
  <c r="H16" i="6"/>
  <c r="H12" i="8"/>
  <c r="H61" i="8"/>
  <c r="I16" i="8"/>
  <c r="H25" i="9"/>
  <c r="H15" i="9"/>
  <c r="H23" i="9"/>
  <c r="H16" i="5"/>
  <c r="H59" i="5"/>
  <c r="I19" i="5"/>
  <c r="K24" i="9"/>
  <c r="H21" i="5"/>
  <c r="I24" i="5"/>
  <c r="K39" i="7"/>
  <c r="K36" i="7"/>
  <c r="J36" i="7"/>
  <c r="L36" i="7"/>
  <c r="J60" i="7"/>
  <c r="K25" i="7"/>
  <c r="I29" i="5"/>
  <c r="H26" i="5"/>
  <c r="H60" i="8"/>
  <c r="H22" i="8"/>
  <c r="I25" i="8"/>
  <c r="J59" i="9"/>
  <c r="K61" i="9"/>
  <c r="I25" i="5"/>
  <c r="J25" i="5"/>
  <c r="H26" i="6"/>
  <c r="I29" i="6"/>
  <c r="K35" i="8"/>
  <c r="J32" i="8"/>
  <c r="G15" i="9"/>
  <c r="G23" i="9"/>
  <c r="J55" i="6"/>
  <c r="K55" i="6"/>
  <c r="K55" i="7"/>
  <c r="L55" i="7"/>
  <c r="L51" i="7"/>
  <c r="J51" i="7"/>
  <c r="H31" i="5"/>
  <c r="I34" i="5"/>
  <c r="H39" i="9"/>
  <c r="I42" i="9"/>
  <c r="G63" i="6"/>
  <c r="J47" i="9"/>
  <c r="I51" i="6"/>
  <c r="I24" i="6"/>
  <c r="H59" i="6"/>
  <c r="H63" i="6"/>
  <c r="I47" i="8"/>
  <c r="J50" i="8"/>
  <c r="J47" i="8"/>
  <c r="J65" i="9"/>
  <c r="J63" i="9"/>
  <c r="I63" i="9"/>
  <c r="J62" i="9"/>
  <c r="K62" i="9"/>
  <c r="I59" i="9"/>
  <c r="J71" i="9"/>
  <c r="K74" i="9"/>
  <c r="K71" i="9"/>
  <c r="J55" i="5"/>
  <c r="J51" i="5"/>
  <c r="J39" i="6"/>
  <c r="J36" i="6"/>
  <c r="I36" i="6"/>
  <c r="K36" i="6"/>
  <c r="K39" i="6"/>
  <c r="J59" i="7"/>
  <c r="J63" i="7"/>
  <c r="J21" i="7"/>
  <c r="J56" i="7"/>
  <c r="K24" i="7"/>
  <c r="L24" i="7"/>
  <c r="E15" i="9"/>
  <c r="E23" i="9"/>
  <c r="E24" i="9"/>
  <c r="I46" i="9"/>
  <c r="K85" i="9"/>
  <c r="K83" i="9"/>
  <c r="J41" i="9"/>
  <c r="J17" i="9"/>
  <c r="J36" i="5"/>
  <c r="K36" i="5"/>
  <c r="K54" i="5"/>
  <c r="J54" i="6"/>
  <c r="K57" i="9"/>
  <c r="K55" i="9"/>
  <c r="K65" i="9"/>
  <c r="K63" i="9"/>
  <c r="K69" i="9"/>
  <c r="K67" i="9"/>
  <c r="J58" i="5"/>
  <c r="K58" i="5"/>
  <c r="G16" i="6"/>
  <c r="G56" i="6"/>
  <c r="G60" i="6"/>
  <c r="E59" i="9"/>
  <c r="J69" i="9"/>
  <c r="J67" i="9"/>
  <c r="I59" i="7"/>
  <c r="I63" i="7"/>
  <c r="I32" i="8"/>
  <c r="K32" i="8"/>
  <c r="G61" i="8"/>
  <c r="I17" i="9"/>
  <c r="K37" i="9"/>
  <c r="K21" i="9"/>
  <c r="K19" i="9"/>
  <c r="F20" i="9"/>
  <c r="J75" i="9"/>
  <c r="K35" i="9"/>
  <c r="G39" i="9"/>
  <c r="I51" i="5"/>
  <c r="K53" i="5"/>
  <c r="I47" i="9"/>
  <c r="H63" i="9"/>
  <c r="L39" i="7"/>
  <c r="H25" i="6"/>
  <c r="I25" i="6"/>
  <c r="J25" i="6"/>
  <c r="F15" i="9"/>
  <c r="J25" i="9"/>
  <c r="I26" i="6"/>
  <c r="J29" i="6"/>
  <c r="J26" i="6"/>
  <c r="K59" i="9"/>
  <c r="J29" i="5"/>
  <c r="J26" i="5"/>
  <c r="I26" i="5"/>
  <c r="J19" i="5"/>
  <c r="I59" i="5"/>
  <c r="I63" i="5"/>
  <c r="I16" i="5"/>
  <c r="J20" i="5"/>
  <c r="J60" i="5"/>
  <c r="I60" i="5"/>
  <c r="K50" i="8"/>
  <c r="K47" i="8"/>
  <c r="K60" i="7"/>
  <c r="I21" i="5"/>
  <c r="J24" i="5"/>
  <c r="J21" i="5"/>
  <c r="H63" i="5"/>
  <c r="H57" i="8"/>
  <c r="K51" i="7"/>
  <c r="J46" i="9"/>
  <c r="I43" i="9"/>
  <c r="I18" i="9"/>
  <c r="I26" i="9"/>
  <c r="K41" i="9"/>
  <c r="K39" i="9"/>
  <c r="J34" i="5"/>
  <c r="I31" i="5"/>
  <c r="K29" i="6"/>
  <c r="K26" i="6"/>
  <c r="I60" i="8"/>
  <c r="J25" i="8"/>
  <c r="I22" i="8"/>
  <c r="L25" i="7"/>
  <c r="L21" i="7"/>
  <c r="K24" i="5"/>
  <c r="K21" i="5"/>
  <c r="K19" i="5"/>
  <c r="K25" i="6"/>
  <c r="K17" i="9"/>
  <c r="L60" i="7"/>
  <c r="H56" i="5"/>
  <c r="H21" i="6"/>
  <c r="H56" i="6"/>
  <c r="K25" i="5"/>
  <c r="H60" i="6"/>
  <c r="J51" i="6"/>
  <c r="K54" i="6"/>
  <c r="K51" i="6"/>
  <c r="J20" i="6"/>
  <c r="I60" i="6"/>
  <c r="I16" i="6"/>
  <c r="I56" i="6"/>
  <c r="J39" i="9"/>
  <c r="F19" i="9"/>
  <c r="F23" i="9"/>
  <c r="F24" i="9"/>
  <c r="K55" i="5"/>
  <c r="K51" i="5"/>
  <c r="K29" i="5"/>
  <c r="K26" i="5"/>
  <c r="I61" i="8"/>
  <c r="J16" i="8"/>
  <c r="I12" i="8"/>
  <c r="I57" i="8"/>
  <c r="I25" i="9"/>
  <c r="K59" i="7"/>
  <c r="K21" i="7"/>
  <c r="I21" i="6"/>
  <c r="I59" i="6"/>
  <c r="I63" i="6"/>
  <c r="J24" i="6"/>
  <c r="J42" i="9"/>
  <c r="K42" i="9"/>
  <c r="I39" i="9"/>
  <c r="J31" i="5"/>
  <c r="K34" i="5"/>
  <c r="K31" i="5"/>
  <c r="K59" i="5"/>
  <c r="I56" i="5"/>
  <c r="J21" i="6"/>
  <c r="J59" i="6"/>
  <c r="J63" i="6"/>
  <c r="J12" i="8"/>
  <c r="J61" i="8"/>
  <c r="K61" i="8"/>
  <c r="K16" i="8"/>
  <c r="K12" i="8"/>
  <c r="K63" i="7"/>
  <c r="L59" i="7"/>
  <c r="J59" i="5"/>
  <c r="J63" i="5"/>
  <c r="J16" i="5"/>
  <c r="J56" i="5"/>
  <c r="K56" i="5"/>
  <c r="K56" i="7"/>
  <c r="L56" i="7"/>
  <c r="I15" i="9"/>
  <c r="I23" i="9"/>
  <c r="J22" i="8"/>
  <c r="J60" i="8"/>
  <c r="K60" i="8"/>
  <c r="K25" i="8"/>
  <c r="K22" i="8"/>
  <c r="J18" i="9"/>
  <c r="J43" i="9"/>
  <c r="J16" i="6"/>
  <c r="J60" i="6"/>
  <c r="K60" i="6"/>
  <c r="K20" i="6"/>
  <c r="K16" i="6"/>
  <c r="K20" i="5"/>
  <c r="K16" i="5"/>
  <c r="K46" i="9"/>
  <c r="K24" i="6"/>
  <c r="K21" i="6"/>
  <c r="K25" i="9"/>
  <c r="K60" i="5"/>
  <c r="J26" i="9"/>
  <c r="J15" i="9"/>
  <c r="J23" i="9"/>
  <c r="K18" i="9"/>
  <c r="K43" i="9"/>
  <c r="J56" i="6"/>
  <c r="K56" i="6"/>
  <c r="K59" i="6"/>
  <c r="J57" i="8"/>
  <c r="K57" i="8"/>
  <c r="K26" i="9"/>
  <c r="K15" i="9"/>
  <c r="K23" i="9"/>
</calcChain>
</file>

<file path=xl/sharedStrings.xml><?xml version="1.0" encoding="utf-8"?>
<sst xmlns="http://schemas.openxmlformats.org/spreadsheetml/2006/main" count="546" uniqueCount="107">
  <si>
    <t>2021 год</t>
  </si>
  <si>
    <t>2020 год</t>
  </si>
  <si>
    <t>2019 год</t>
  </si>
  <si>
    <t>2022 год</t>
  </si>
  <si>
    <t>2023 год</t>
  </si>
  <si>
    <t>2024 год</t>
  </si>
  <si>
    <t>2025 год</t>
  </si>
  <si>
    <t>№ п/п</t>
  </si>
  <si>
    <t>1.</t>
  </si>
  <si>
    <t>Наименование показателя</t>
  </si>
  <si>
    <t>Темп роста к предыдущему году</t>
  </si>
  <si>
    <t>Муниципальная программа "Развитие физической культуры и спорта"</t>
  </si>
  <si>
    <t xml:space="preserve">ПРОГНОЗ
расходов на реализацию муниципальной программы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</si>
  <si>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(тыс. руб.)</t>
  </si>
  <si>
    <t xml:space="preserve">Финансовое обеспечение </t>
  </si>
  <si>
    <t>мероприятий муниципальной программы</t>
  </si>
  <si>
    <t>Наименование мероприятия муниципальной программы</t>
  </si>
  <si>
    <t>Исполнитель муниципальной программы*</t>
  </si>
  <si>
    <t>Источник финанси-рования**</t>
  </si>
  <si>
    <t>Финансовые затраты, тыс. руб.</t>
  </si>
  <si>
    <t>Всего</t>
  </si>
  <si>
    <t>1.1.</t>
  </si>
  <si>
    <t>Проведение физкультурно-оздоровительных занятий</t>
  </si>
  <si>
    <t>УФКМС</t>
  </si>
  <si>
    <t>ФБ</t>
  </si>
  <si>
    <t>РБ</t>
  </si>
  <si>
    <t>МБ</t>
  </si>
  <si>
    <t>ВБ</t>
  </si>
  <si>
    <t>1.2.</t>
  </si>
  <si>
    <t>Обеспечение доступа к спортивным объектам (предоставление спортивных сооружений муниципальными учреждениями)</t>
  </si>
  <si>
    <t>1.3.</t>
  </si>
  <si>
    <t>Содержание и эксплуатация спортивных сооружений</t>
  </si>
  <si>
    <t>Организация и проведение официальных физкультурно- оздоровительных и спортивных мероприятий муниципального образования «Город Вологда» муниципальными  учреждениями</t>
  </si>
  <si>
    <t>Обеспечение участия спортивных сборных команд в  физкультурно-спортивных мероприятиях различного уровня и осуществление их обеспечения муниципальными учреждениями</t>
  </si>
  <si>
    <t>Содействие субъектам физической культуры и спорта  через предоставление субсидий из бюджета города Вологды на социально значимые цели</t>
  </si>
  <si>
    <t xml:space="preserve">Стипендиальная поддержка  лучших спортсменов муниципального образования «Город Вологда» </t>
  </si>
  <si>
    <t>Спортивная подготовка по олимпийским видам спорта</t>
  </si>
  <si>
    <t>Итого</t>
  </si>
  <si>
    <t>1.4</t>
  </si>
  <si>
    <t>1.5</t>
  </si>
  <si>
    <t>1.6</t>
  </si>
  <si>
    <t>1.7</t>
  </si>
  <si>
    <t>1.8</t>
  </si>
  <si>
    <t>темп роста к предыдущему году (в %)</t>
  </si>
  <si>
    <t>Темп роста к предыдущему году (в %)</t>
  </si>
  <si>
    <t>2020 год (контрольные показатели)</t>
  </si>
  <si>
    <t>2020 год (потребность)</t>
  </si>
  <si>
    <t>Участие в обеспечении подготовки спортивного резерва для спортивных сборных команд субъекта Российской Федерации</t>
  </si>
  <si>
    <t>Приложение № 3</t>
  </si>
  <si>
    <t>к муниципальной программе "Развитие</t>
  </si>
  <si>
    <t>физической культуры и спорта"</t>
  </si>
  <si>
    <t>*  УФКМС - Управление физической культуры и массового спорта Администрации города Вологды;</t>
  </si>
  <si>
    <t>** ФБ – безвозмездные поступления из федерального бюджета;</t>
  </si>
  <si>
    <t xml:space="preserve">    РБ – безвозмездные поступления из областного бюджета (кроме дотаций);</t>
  </si>
  <si>
    <t xml:space="preserve">    МБ – налоговые и неналоговые доходы бюджета города Вологды и дотации из областного бюджета;</t>
  </si>
  <si>
    <t xml:space="preserve">    ВБ – внебюджетные источники финансирования.</t>
  </si>
  <si>
    <t>4</t>
  </si>
  <si>
    <t>5</t>
  </si>
  <si>
    <t>6</t>
  </si>
  <si>
    <t>7</t>
  </si>
  <si>
    <t>8</t>
  </si>
  <si>
    <t>9</t>
  </si>
  <si>
    <t>Участие спортивных сборных команд в  физкультурно-спортивных мероприятиях различного уровня, осуществление их обеспечения, организация и проведение тренировочных сборов  муниципальными учреждениями</t>
  </si>
  <si>
    <t xml:space="preserve">Реализация муниципальными учреждениями программ спортивной подготовки в соответствии с федеральными стандартами спортивной подготовки </t>
  </si>
  <si>
    <t>Реконструкция подводящего газопровода</t>
  </si>
  <si>
    <t xml:space="preserve">2020 год </t>
  </si>
  <si>
    <t>10</t>
  </si>
  <si>
    <t>к муниципальной программе «Развитие</t>
  </si>
  <si>
    <t xml:space="preserve">физической культуры и спорта» </t>
  </si>
  <si>
    <t>11</t>
  </si>
  <si>
    <t>2026 год</t>
  </si>
  <si>
    <t>2027 год</t>
  </si>
  <si>
    <t>Финансовое обеспечение муниципальной программы</t>
  </si>
  <si>
    <t>Наименование муниципальной программы, структурного элемента муниципальной программы</t>
  </si>
  <si>
    <r>
      <t>Ответственный исполнитель, соисполнитель, участник муниципальной программы</t>
    </r>
    <r>
      <rPr>
        <vertAlign val="superscript"/>
        <sz val="11"/>
        <color indexed="8"/>
        <rFont val="Times New Roman"/>
        <family val="1"/>
        <charset val="204"/>
      </rPr>
      <t>1</t>
    </r>
  </si>
  <si>
    <r>
      <t>Источник финанси-рования</t>
    </r>
    <r>
      <rPr>
        <vertAlign val="superscript"/>
        <sz val="11"/>
        <color indexed="8"/>
        <rFont val="Times New Roman"/>
        <family val="1"/>
        <charset val="204"/>
      </rPr>
      <t>2</t>
    </r>
  </si>
  <si>
    <t>2028 год</t>
  </si>
  <si>
    <t>2029 год</t>
  </si>
  <si>
    <t>2030 год</t>
  </si>
  <si>
    <t>Комплекс процессных мероприятий  «Проведение физкультурно-оздоровительных занятий»</t>
  </si>
  <si>
    <t>Комплекс процессных мероприятий  «Обеспечение доступа к спортивным объектам (предоставление спортивных сооружений муниципальными учреждениями)»</t>
  </si>
  <si>
    <t>Комплекс процессных мероприятий  «Содержание и эксплуатация спортивных сооружений»</t>
  </si>
  <si>
    <t>Комплекс процессных мероприятий  «Организация и проведение официальных физкультурно-оздоровительных и спортивных мероприятий городского округа города Вологды муниципальными учреждениями»</t>
  </si>
  <si>
    <t>Комплекс процессных мероприятий  «Участие спортивных сборных команд в физкультурно-спортивных мероприятиях различного уровня, осуществление их обеспечения, организация и проведение тренировочных сборов муниципальными учреждениями»</t>
  </si>
  <si>
    <t>1</t>
  </si>
  <si>
    <t>2</t>
  </si>
  <si>
    <t>3</t>
  </si>
  <si>
    <t>Комплекс процессных мероприятий  «Содействие субъектам физической культуры и спорта через предоставление субсидий из бюджета города Вологды на социально значимые цели»</t>
  </si>
  <si>
    <t>Комплекс процессных мероприятий  «Стипендиальная поддержка лучших спортсменов городского округа города Вологды»</t>
  </si>
  <si>
    <t>Комплекс процессных мероприятий  «Реализация муниципальными учреждениями дополнительных образовательных программ спортивной подготовки в соответствии с федеральными стандартами спортивной подготовки»</t>
  </si>
  <si>
    <t>Муниципальная программа «Развитие физической культуры и спорта»</t>
  </si>
  <si>
    <t>МБТ</t>
  </si>
  <si>
    <t>12</t>
  </si>
  <si>
    <r>
      <rPr>
        <vertAlign val="superscript"/>
        <sz val="13"/>
        <rFont val="Times New Roman"/>
        <family val="1"/>
        <charset val="204"/>
      </rPr>
      <t>2</t>
    </r>
    <r>
      <rPr>
        <sz val="13"/>
        <rFont val="Times New Roman"/>
        <family val="1"/>
        <charset val="204"/>
      </rPr>
      <t xml:space="preserve">   МБТ – безвозмездные поступления из федерального и регионального бюджета;</t>
    </r>
  </si>
  <si>
    <t xml:space="preserve">    МБ – расходы за счет налоговых и неналоговых доходов местного бюджета; </t>
  </si>
  <si>
    <t>КФКМС</t>
  </si>
  <si>
    <r>
      <rPr>
        <vertAlign val="superscript"/>
        <sz val="13"/>
        <rFont val="Times New Roman"/>
        <family val="1"/>
        <charset val="204"/>
      </rPr>
      <t>1</t>
    </r>
    <r>
      <rPr>
        <sz val="13"/>
        <rFont val="Times New Roman"/>
        <family val="1"/>
        <charset val="204"/>
      </rPr>
      <t xml:space="preserve">  КФКМС - Комитет по физической культуре и массовому спорту Администрации города Вологды;</t>
    </r>
  </si>
  <si>
    <t xml:space="preserve">   ДСБСТ - Департамент строительства, благоустройства и содержания территорий Администрации города Вологды;</t>
  </si>
  <si>
    <t>Комплекс процессных мероприятий  «Обеспечение выполнения функций Комитета по физической культуре и массовому спорту Администрации города Вологды»</t>
  </si>
  <si>
    <t>ДСБСТ</t>
  </si>
  <si>
    <t xml:space="preserve">«Приложение № 3 </t>
  </si>
  <si>
    <t xml:space="preserve">    ВБ – внебюджетные источники финансирования.                                                                                                                                                                                                         </t>
  </si>
  <si>
    <t xml:space="preserve">                         ».</t>
  </si>
  <si>
    <t>Приложение к постановлению Администрации города Вологды                              от ___________ №  _______</t>
  </si>
  <si>
    <t>Региональный проект «Развитие инфраструктуры спортивных объектов»</t>
  </si>
  <si>
    <t>Региональный проект «Спорт для всех»</t>
  </si>
  <si>
    <t>Региональный проект «Обеспечение общественной безопасности»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</si>
</sst>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vertAlign val="superscript"/>
      <sz val="11"/>
      <color indexed="8"/>
      <name val="Times New Roman"/>
      <family val="1"/>
      <charset val="204"/>
    </font>
    <font>
      <vertAlign val="superscript"/>
      <sz val="1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112"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wrapText="1"/>
    </xf>
    <xf numFmtId="164" fontId="14" fillId="0" borderId="0" xfId="0" applyNumberFormat="1" applyFont="1"/>
    <xf numFmtId="0" fontId="15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6" fontId="13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7" fillId="0" borderId="0" xfId="0" applyFont="1"/>
    <xf numFmtId="164" fontId="15" fillId="0" borderId="0" xfId="0" applyNumberFormat="1" applyFont="1"/>
    <xf numFmtId="0" fontId="18" fillId="2" borderId="1" xfId="0" applyFont="1" applyFill="1" applyBorder="1" applyAlignment="1">
      <alignment vertical="center" wrapText="1"/>
    </xf>
    <xf numFmtId="164" fontId="18" fillId="2" borderId="1" xfId="0" applyNumberFormat="1" applyFont="1" applyFill="1" applyBorder="1" applyAlignment="1">
      <alignment wrapText="1"/>
    </xf>
    <xf numFmtId="165" fontId="18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164" fontId="0" fillId="0" borderId="0" xfId="0" applyNumberFormat="1"/>
    <xf numFmtId="0" fontId="5" fillId="0" borderId="1" xfId="0" applyFont="1" applyBorder="1" applyAlignment="1">
      <alignment horizontal="center" vertical="top" wrapText="1"/>
    </xf>
    <xf numFmtId="0" fontId="4" fillId="3" borderId="0" xfId="0" applyFont="1" applyFill="1"/>
    <xf numFmtId="0" fontId="4" fillId="0" borderId="0" xfId="0" applyFont="1" applyFill="1"/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166" fontId="7" fillId="0" borderId="0" xfId="0" applyNumberFormat="1" applyFont="1"/>
    <xf numFmtId="164" fontId="2" fillId="3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0" fillId="0" borderId="0" xfId="0" applyFill="1" applyAlignment="1"/>
    <xf numFmtId="164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3" fillId="0" borderId="0" xfId="0" applyFont="1" applyFill="1"/>
    <xf numFmtId="166" fontId="7" fillId="0" borderId="0" xfId="0" applyNumberFormat="1" applyFont="1" applyFill="1"/>
    <xf numFmtId="0" fontId="13" fillId="0" borderId="0" xfId="0" applyFont="1" applyFill="1" applyAlignment="1">
      <alignment horizontal="center" vertical="center" wrapText="1"/>
    </xf>
    <xf numFmtId="164" fontId="14" fillId="0" borderId="0" xfId="0" applyNumberFormat="1" applyFont="1" applyFill="1"/>
    <xf numFmtId="0" fontId="15" fillId="0" borderId="0" xfId="0" applyFont="1" applyFill="1"/>
    <xf numFmtId="164" fontId="15" fillId="0" borderId="0" xfId="0" applyNumberFormat="1" applyFont="1" applyFill="1"/>
    <xf numFmtId="0" fontId="2" fillId="0" borderId="0" xfId="0" applyFont="1" applyFill="1"/>
    <xf numFmtId="164" fontId="0" fillId="0" borderId="0" xfId="0" applyNumberFormat="1" applyFill="1"/>
    <xf numFmtId="0" fontId="6" fillId="0" borderId="0" xfId="0" applyFont="1" applyFill="1"/>
    <xf numFmtId="0" fontId="14" fillId="0" borderId="0" xfId="0" applyFont="1" applyFill="1" applyAlignment="1"/>
    <xf numFmtId="164" fontId="14" fillId="0" borderId="0" xfId="0" applyNumberFormat="1" applyFont="1" applyFill="1" applyAlignment="1"/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11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13" fillId="0" borderId="0" xfId="0" applyFont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64" fontId="14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I8"/>
  <sheetViews>
    <sheetView zoomScale="90" zoomScaleNormal="90" workbookViewId="0">
      <selection activeCell="B22" sqref="B22"/>
    </sheetView>
  </sheetViews>
  <sheetFormatPr defaultRowHeight="15" x14ac:dyDescent="0.25"/>
  <cols>
    <col min="1" max="1" width="7.140625" customWidth="1"/>
    <col min="2" max="2" width="56" customWidth="1"/>
    <col min="3" max="3" width="14.7109375" customWidth="1"/>
    <col min="4" max="4" width="13.7109375" customWidth="1"/>
    <col min="5" max="5" width="14.140625" customWidth="1"/>
    <col min="6" max="6" width="14.85546875" customWidth="1"/>
    <col min="7" max="7" width="12.85546875" customWidth="1"/>
    <col min="8" max="8" width="13.7109375" customWidth="1"/>
    <col min="9" max="9" width="14.140625" customWidth="1"/>
    <col min="10" max="10" width="11.42578125" bestFit="1" customWidth="1"/>
  </cols>
  <sheetData>
    <row r="1" spans="1:9" ht="51" customHeight="1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</row>
    <row r="2" spans="1:9" ht="21" customHeight="1" x14ac:dyDescent="0.25">
      <c r="A2" t="s">
        <v>13</v>
      </c>
      <c r="B2" s="7"/>
      <c r="C2" s="7"/>
      <c r="D2" s="7"/>
      <c r="E2" s="7"/>
      <c r="F2" s="7"/>
      <c r="G2" s="7"/>
      <c r="H2" s="7"/>
      <c r="I2" s="7"/>
    </row>
    <row r="3" spans="1:9" ht="94.5" customHeight="1" x14ac:dyDescent="0.25">
      <c r="A3" s="9" t="s">
        <v>7</v>
      </c>
      <c r="B3" s="8" t="s">
        <v>9</v>
      </c>
      <c r="C3" s="8" t="s">
        <v>2</v>
      </c>
      <c r="D3" s="8" t="s">
        <v>1</v>
      </c>
      <c r="E3" s="8" t="s">
        <v>0</v>
      </c>
      <c r="F3" s="8" t="s">
        <v>3</v>
      </c>
      <c r="G3" s="8" t="s">
        <v>4</v>
      </c>
      <c r="H3" s="8" t="s">
        <v>5</v>
      </c>
      <c r="I3" s="8" t="s">
        <v>6</v>
      </c>
    </row>
    <row r="4" spans="1:9" ht="18" customHeight="1" x14ac:dyDescent="0.25">
      <c r="A4" s="9">
        <v>1</v>
      </c>
      <c r="B4" s="1">
        <v>2</v>
      </c>
      <c r="C4" s="1">
        <v>5</v>
      </c>
      <c r="D4" s="1">
        <v>6</v>
      </c>
      <c r="E4" s="1">
        <v>7</v>
      </c>
      <c r="F4" s="6">
        <v>8</v>
      </c>
      <c r="G4" s="6">
        <v>9</v>
      </c>
      <c r="H4" s="6">
        <v>10</v>
      </c>
      <c r="I4" s="6">
        <v>11</v>
      </c>
    </row>
    <row r="5" spans="1:9" ht="31.5" x14ac:dyDescent="0.25">
      <c r="A5" s="10" t="s">
        <v>8</v>
      </c>
      <c r="B5" s="2" t="s">
        <v>11</v>
      </c>
      <c r="C5" s="3">
        <v>110411.6</v>
      </c>
      <c r="D5" s="3">
        <v>120411.6</v>
      </c>
      <c r="E5" s="3">
        <v>120411.6</v>
      </c>
      <c r="F5" s="3">
        <f>E5*F6</f>
        <v>118846.24920000001</v>
      </c>
      <c r="G5" s="3">
        <f>F5*G6</f>
        <v>122055.09792839999</v>
      </c>
      <c r="H5" s="3">
        <f>G5*H6</f>
        <v>125594.69576832358</v>
      </c>
      <c r="I5" s="3">
        <f>H5*I6</f>
        <v>128357.7790752267</v>
      </c>
    </row>
    <row r="6" spans="1:9" s="12" customFormat="1" ht="15.75" x14ac:dyDescent="0.25">
      <c r="A6" s="11"/>
      <c r="B6" s="14" t="s">
        <v>10</v>
      </c>
      <c r="C6" s="15"/>
      <c r="D6" s="15"/>
      <c r="E6" s="15"/>
      <c r="F6" s="16">
        <v>0.98699999999999999</v>
      </c>
      <c r="G6" s="16">
        <v>1.0269999999999999</v>
      </c>
      <c r="H6" s="16">
        <v>1.0289999999999999</v>
      </c>
      <c r="I6" s="16">
        <v>1.022</v>
      </c>
    </row>
    <row r="7" spans="1:9" x14ac:dyDescent="0.25">
      <c r="B7" s="4"/>
      <c r="C7" s="4"/>
      <c r="D7" s="4"/>
      <c r="E7" s="4"/>
      <c r="F7" s="4"/>
      <c r="G7" s="4"/>
      <c r="H7" s="4"/>
      <c r="I7" s="4"/>
    </row>
    <row r="8" spans="1:9" x14ac:dyDescent="0.25">
      <c r="B8" s="5"/>
      <c r="C8" s="13"/>
      <c r="D8" s="13"/>
      <c r="E8" s="13"/>
      <c r="F8" s="13"/>
      <c r="G8" s="13"/>
      <c r="H8" s="13"/>
      <c r="I8" s="13"/>
    </row>
  </sheetData>
  <mergeCells count="1">
    <mergeCell ref="A1:I1"/>
  </mergeCells>
  <pageMargins left="0.51181102362204722" right="0.31496062992125984" top="0.55118110236220474" bottom="0.19685039370078741" header="0" footer="0"/>
  <pageSetup paperSize="8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5" workbookViewId="0">
      <pane xSplit="6" ySplit="16" topLeftCell="G21" activePane="bottomRight" state="frozen"/>
      <selection activeCell="A5" sqref="A5"/>
      <selection pane="topRight" activeCell="G5" sqref="G5"/>
      <selection pane="bottomLeft" activeCell="A21" sqref="A21"/>
      <selection pane="bottomRight" activeCell="A9" sqref="A9:K9"/>
    </sheetView>
  </sheetViews>
  <sheetFormatPr defaultRowHeight="15" x14ac:dyDescent="0.25"/>
  <cols>
    <col min="1" max="1" width="7.140625" customWidth="1"/>
    <col min="2" max="2" width="56" customWidth="1"/>
    <col min="3" max="3" width="14.7109375" customWidth="1"/>
    <col min="4" max="4" width="13.7109375" customWidth="1"/>
    <col min="5" max="5" width="14.140625" customWidth="1"/>
    <col min="6" max="6" width="14.85546875" customWidth="1"/>
    <col min="7" max="7" width="12.85546875" customWidth="1"/>
    <col min="8" max="8" width="13.7109375" customWidth="1"/>
    <col min="9" max="9" width="14.140625" customWidth="1"/>
    <col min="10" max="10" width="11.5703125" bestFit="1" customWidth="1"/>
    <col min="11" max="11" width="13.28515625" customWidth="1"/>
  </cols>
  <sheetData>
    <row r="1" spans="1:11" ht="51" customHeight="1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</row>
    <row r="2" spans="1:11" ht="21" customHeight="1" x14ac:dyDescent="0.25">
      <c r="A2" t="s">
        <v>13</v>
      </c>
      <c r="B2" s="7"/>
      <c r="C2" s="7"/>
      <c r="D2" s="7"/>
      <c r="E2" s="7"/>
      <c r="F2" s="7"/>
      <c r="G2" s="7"/>
      <c r="H2" s="7"/>
      <c r="I2" s="7"/>
    </row>
    <row r="3" spans="1:11" ht="94.5" customHeight="1" x14ac:dyDescent="0.25">
      <c r="A3" s="9" t="s">
        <v>7</v>
      </c>
      <c r="B3" s="8" t="s">
        <v>9</v>
      </c>
      <c r="C3" s="8" t="s">
        <v>2</v>
      </c>
      <c r="D3" s="8" t="s">
        <v>1</v>
      </c>
      <c r="E3" s="8" t="s">
        <v>0</v>
      </c>
      <c r="F3" s="8" t="s">
        <v>3</v>
      </c>
      <c r="G3" s="8" t="s">
        <v>4</v>
      </c>
      <c r="H3" s="8" t="s">
        <v>5</v>
      </c>
      <c r="I3" s="8" t="s">
        <v>6</v>
      </c>
    </row>
    <row r="4" spans="1:11" ht="18" customHeight="1" x14ac:dyDescent="0.25">
      <c r="A4" s="9">
        <v>1</v>
      </c>
      <c r="B4" s="1">
        <v>2</v>
      </c>
      <c r="C4" s="1">
        <v>5</v>
      </c>
      <c r="D4" s="1">
        <v>6</v>
      </c>
      <c r="E4" s="1">
        <v>7</v>
      </c>
      <c r="F4" s="6">
        <v>8</v>
      </c>
      <c r="G4" s="6">
        <v>9</v>
      </c>
      <c r="H4" s="6">
        <v>10</v>
      </c>
      <c r="I4" s="6">
        <v>11</v>
      </c>
    </row>
    <row r="5" spans="1:11" ht="31.5" x14ac:dyDescent="0.25">
      <c r="A5" s="10" t="s">
        <v>8</v>
      </c>
      <c r="B5" s="2" t="s">
        <v>11</v>
      </c>
      <c r="C5" s="3">
        <v>114911.6</v>
      </c>
      <c r="D5" s="3">
        <v>120411.6</v>
      </c>
      <c r="E5" s="3">
        <v>120411.6</v>
      </c>
      <c r="F5" s="3">
        <f>E5*F6</f>
        <v>118605.42600000001</v>
      </c>
      <c r="G5" s="3">
        <f>F5*G6</f>
        <v>121807.77250199999</v>
      </c>
      <c r="H5" s="3">
        <f>G5*H6</f>
        <v>125340.19790455798</v>
      </c>
      <c r="I5" s="3">
        <f>H5*I6</f>
        <v>128097.68225845826</v>
      </c>
    </row>
    <row r="6" spans="1:11" s="12" customFormat="1" ht="15.75" x14ac:dyDescent="0.25">
      <c r="A6" s="11"/>
      <c r="B6" s="14" t="s">
        <v>10</v>
      </c>
      <c r="C6" s="15"/>
      <c r="D6" s="15"/>
      <c r="E6" s="15"/>
      <c r="F6" s="16">
        <v>0.98499999999999999</v>
      </c>
      <c r="G6" s="16">
        <v>1.0269999999999999</v>
      </c>
      <c r="H6" s="16">
        <v>1.0289999999999999</v>
      </c>
      <c r="I6" s="16">
        <v>1.022</v>
      </c>
    </row>
    <row r="7" spans="1:11" x14ac:dyDescent="0.25">
      <c r="B7" s="4"/>
      <c r="C7" s="4"/>
      <c r="D7" s="4">
        <f>D5+30000</f>
        <v>150411.6</v>
      </c>
      <c r="E7" s="4"/>
      <c r="F7" s="4"/>
      <c r="G7" s="4"/>
      <c r="H7" s="4"/>
      <c r="I7" s="4"/>
      <c r="J7" s="23">
        <f>D7+E5+F5+G5+H5+I5</f>
        <v>764674.27866501629</v>
      </c>
    </row>
    <row r="8" spans="1:11" x14ac:dyDescent="0.25">
      <c r="B8" s="5"/>
      <c r="C8" s="13"/>
      <c r="D8" s="13"/>
      <c r="E8" s="13"/>
      <c r="F8" s="13"/>
      <c r="G8" s="13"/>
      <c r="H8" s="13"/>
      <c r="I8" s="13"/>
      <c r="J8">
        <v>582000</v>
      </c>
      <c r="K8" s="23">
        <f>J7+J8</f>
        <v>1346674.2786650164</v>
      </c>
    </row>
    <row r="9" spans="1:11" x14ac:dyDescent="0.25">
      <c r="A9" s="73" t="s">
        <v>14</v>
      </c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A10" s="73" t="s">
        <v>15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x14ac:dyDescent="0.25">
      <c r="A11" s="17" t="s">
        <v>43</v>
      </c>
      <c r="B11" s="18"/>
      <c r="C11" s="18"/>
      <c r="D11" s="18"/>
      <c r="E11" s="18"/>
      <c r="F11" s="18"/>
      <c r="G11" s="22">
        <v>98.5</v>
      </c>
      <c r="H11" s="22">
        <v>102.7</v>
      </c>
      <c r="I11" s="22">
        <v>102.9</v>
      </c>
      <c r="J11" s="22">
        <v>102.2</v>
      </c>
      <c r="K11" s="18"/>
    </row>
    <row r="12" spans="1:11" x14ac:dyDescent="0.25">
      <c r="A12" s="61" t="s">
        <v>7</v>
      </c>
      <c r="B12" s="61" t="s">
        <v>16</v>
      </c>
      <c r="C12" s="61" t="s">
        <v>17</v>
      </c>
      <c r="D12" s="61" t="s">
        <v>18</v>
      </c>
      <c r="E12" s="61" t="s">
        <v>19</v>
      </c>
      <c r="F12" s="61"/>
      <c r="G12" s="61"/>
      <c r="H12" s="61"/>
      <c r="I12" s="61"/>
      <c r="J12" s="61"/>
      <c r="K12" s="61"/>
    </row>
    <row r="13" spans="1:1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1" x14ac:dyDescent="0.25">
      <c r="A14" s="61"/>
      <c r="B14" s="61"/>
      <c r="C14" s="61"/>
      <c r="D14" s="61"/>
      <c r="E14" s="19" t="s">
        <v>1</v>
      </c>
      <c r="F14" s="19" t="s">
        <v>0</v>
      </c>
      <c r="G14" s="20" t="s">
        <v>3</v>
      </c>
      <c r="H14" s="19" t="s">
        <v>4</v>
      </c>
      <c r="I14" s="19" t="s">
        <v>5</v>
      </c>
      <c r="J14" s="19" t="s">
        <v>6</v>
      </c>
      <c r="K14" s="19" t="s">
        <v>20</v>
      </c>
    </row>
    <row r="15" spans="1:11" x14ac:dyDescent="0.25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19">
        <v>6</v>
      </c>
      <c r="G15" s="19">
        <v>7</v>
      </c>
      <c r="H15" s="19">
        <v>8</v>
      </c>
      <c r="I15" s="19">
        <v>9</v>
      </c>
      <c r="J15" s="19">
        <v>10</v>
      </c>
      <c r="K15" s="19">
        <v>11</v>
      </c>
    </row>
    <row r="16" spans="1:11" x14ac:dyDescent="0.25">
      <c r="A16" s="64" t="s">
        <v>21</v>
      </c>
      <c r="B16" s="65" t="s">
        <v>22</v>
      </c>
      <c r="C16" s="61" t="s">
        <v>23</v>
      </c>
      <c r="D16" s="19" t="s">
        <v>20</v>
      </c>
      <c r="E16" s="21">
        <f t="shared" ref="E16:J16" si="0">SUM(E17:E20)</f>
        <v>9486.7999999999993</v>
      </c>
      <c r="F16" s="21">
        <f t="shared" si="0"/>
        <v>9577</v>
      </c>
      <c r="G16" s="21">
        <f t="shared" si="0"/>
        <v>8112.2207999999991</v>
      </c>
      <c r="H16" s="21">
        <f t="shared" si="0"/>
        <v>8368.5918303999988</v>
      </c>
      <c r="I16" s="21">
        <f t="shared" si="0"/>
        <v>8645.3593863951992</v>
      </c>
      <c r="J16" s="21">
        <f t="shared" si="0"/>
        <v>8888.8729386092218</v>
      </c>
      <c r="K16" s="21">
        <f>K17+K18+K19+K20</f>
        <v>53078.84495540442</v>
      </c>
    </row>
    <row r="17" spans="1:11" x14ac:dyDescent="0.25">
      <c r="A17" s="64"/>
      <c r="B17" s="65"/>
      <c r="C17" s="61"/>
      <c r="D17" s="19" t="s">
        <v>24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f>SUM(E17:J17)</f>
        <v>0</v>
      </c>
    </row>
    <row r="18" spans="1:11" x14ac:dyDescent="0.25">
      <c r="A18" s="64"/>
      <c r="B18" s="65"/>
      <c r="C18" s="61"/>
      <c r="D18" s="19" t="s">
        <v>25</v>
      </c>
      <c r="E18" s="21">
        <v>1473</v>
      </c>
      <c r="F18" s="21">
        <v>1473</v>
      </c>
      <c r="G18" s="21">
        <v>0</v>
      </c>
      <c r="H18" s="21">
        <v>0</v>
      </c>
      <c r="I18" s="21">
        <v>0</v>
      </c>
      <c r="J18" s="21">
        <v>0</v>
      </c>
      <c r="K18" s="21">
        <f>SUM(E18:J18)</f>
        <v>2946</v>
      </c>
    </row>
    <row r="19" spans="1:11" x14ac:dyDescent="0.25">
      <c r="A19" s="64"/>
      <c r="B19" s="65"/>
      <c r="C19" s="61"/>
      <c r="D19" s="19" t="s">
        <v>26</v>
      </c>
      <c r="E19" s="21">
        <v>5866.4</v>
      </c>
      <c r="F19" s="21">
        <v>5866.4</v>
      </c>
      <c r="G19" s="21">
        <f>F19*98.5%</f>
        <v>5778.4039999999995</v>
      </c>
      <c r="H19" s="21">
        <f>G19*102.7%</f>
        <v>5934.4209080000001</v>
      </c>
      <c r="I19" s="21">
        <f>H19*102.9%</f>
        <v>6106.5191143320008</v>
      </c>
      <c r="J19" s="21">
        <f>I19*102.2%</f>
        <v>6240.8625348473051</v>
      </c>
      <c r="K19" s="21">
        <f>SUM(E19:J19)</f>
        <v>35793.006557179302</v>
      </c>
    </row>
    <row r="20" spans="1:11" x14ac:dyDescent="0.25">
      <c r="A20" s="64"/>
      <c r="B20" s="65"/>
      <c r="C20" s="61"/>
      <c r="D20" s="19" t="s">
        <v>27</v>
      </c>
      <c r="E20" s="21">
        <v>2147.4</v>
      </c>
      <c r="F20" s="21">
        <v>2237.6</v>
      </c>
      <c r="G20" s="21">
        <f>F20*104.3%</f>
        <v>2333.8167999999996</v>
      </c>
      <c r="H20" s="21">
        <f>G20*104.3%</f>
        <v>2434.1709223999992</v>
      </c>
      <c r="I20" s="21">
        <f>H20*104.3%</f>
        <v>2538.8402720631989</v>
      </c>
      <c r="J20" s="21">
        <f>I20*104.3%</f>
        <v>2648.0104037619162</v>
      </c>
      <c r="K20" s="21">
        <f>SUM(E20:J20)</f>
        <v>14339.838398225114</v>
      </c>
    </row>
    <row r="21" spans="1:11" x14ac:dyDescent="0.25">
      <c r="A21" s="66" t="s">
        <v>28</v>
      </c>
      <c r="B21" s="68" t="s">
        <v>29</v>
      </c>
      <c r="C21" s="70" t="s">
        <v>23</v>
      </c>
      <c r="D21" s="19" t="s">
        <v>20</v>
      </c>
      <c r="E21" s="21">
        <f t="shared" ref="E21:J21" si="1">SUM(E22:E25)</f>
        <v>95455.2</v>
      </c>
      <c r="F21" s="21">
        <f t="shared" si="1"/>
        <v>97455.2</v>
      </c>
      <c r="G21" s="21">
        <f t="shared" si="1"/>
        <v>99172.772000000012</v>
      </c>
      <c r="H21" s="21">
        <f t="shared" si="1"/>
        <v>101850.43684400001</v>
      </c>
      <c r="I21" s="21">
        <f t="shared" si="1"/>
        <v>104644.41354187604</v>
      </c>
      <c r="J21" s="21">
        <f t="shared" si="1"/>
        <v>107356.58436931283</v>
      </c>
      <c r="K21" s="21">
        <f>K22+K23+K24+K25</f>
        <v>605934.6067551889</v>
      </c>
    </row>
    <row r="22" spans="1:11" x14ac:dyDescent="0.25">
      <c r="A22" s="67"/>
      <c r="B22" s="69"/>
      <c r="C22" s="71"/>
      <c r="D22" s="19" t="s">
        <v>24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f>SUM(E22:J22)</f>
        <v>0</v>
      </c>
    </row>
    <row r="23" spans="1:11" x14ac:dyDescent="0.25">
      <c r="A23" s="67"/>
      <c r="B23" s="69"/>
      <c r="C23" s="71"/>
      <c r="D23" s="19" t="s">
        <v>25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f>SUM(E23:J23)</f>
        <v>0</v>
      </c>
    </row>
    <row r="24" spans="1:11" x14ac:dyDescent="0.25">
      <c r="A24" s="67"/>
      <c r="B24" s="69"/>
      <c r="C24" s="71"/>
      <c r="D24" s="19" t="s">
        <v>26</v>
      </c>
      <c r="E24" s="21">
        <v>21755.200000000001</v>
      </c>
      <c r="F24" s="21">
        <v>21755.200000000001</v>
      </c>
      <c r="G24" s="21">
        <f>F24*98.5%</f>
        <v>21428.871999999999</v>
      </c>
      <c r="H24" s="21">
        <f>G24*102.7%</f>
        <v>22007.451544000003</v>
      </c>
      <c r="I24" s="21">
        <f>H24*102.9%</f>
        <v>22645.667638776005</v>
      </c>
      <c r="J24" s="21">
        <f>I24*102.2%</f>
        <v>23143.872326829078</v>
      </c>
      <c r="K24" s="21">
        <f>SUM(E24:J24)</f>
        <v>132736.26350960508</v>
      </c>
    </row>
    <row r="25" spans="1:11" x14ac:dyDescent="0.25">
      <c r="A25" s="67"/>
      <c r="B25" s="69"/>
      <c r="C25" s="72"/>
      <c r="D25" s="19" t="s">
        <v>27</v>
      </c>
      <c r="E25" s="21">
        <v>73700</v>
      </c>
      <c r="F25" s="21">
        <v>75700</v>
      </c>
      <c r="G25" s="21">
        <f>F25*102.7%</f>
        <v>77743.900000000009</v>
      </c>
      <c r="H25" s="21">
        <f>G25*102.7%</f>
        <v>79842.985300000015</v>
      </c>
      <c r="I25" s="21">
        <f>H25*102.7%</f>
        <v>81998.745903100033</v>
      </c>
      <c r="J25" s="21">
        <f>I25*102.7%</f>
        <v>84212.712042483749</v>
      </c>
      <c r="K25" s="21">
        <f>SUM(E25:J25)</f>
        <v>473198.34324558382</v>
      </c>
    </row>
    <row r="26" spans="1:11" x14ac:dyDescent="0.25">
      <c r="A26" s="63" t="s">
        <v>30</v>
      </c>
      <c r="B26" s="62" t="s">
        <v>31</v>
      </c>
      <c r="C26" s="61" t="s">
        <v>23</v>
      </c>
      <c r="D26" s="20" t="s">
        <v>20</v>
      </c>
      <c r="E26" s="21">
        <f t="shared" ref="E26:J26" si="2">E27+E28+E29+E30</f>
        <v>3480.1</v>
      </c>
      <c r="F26" s="21">
        <f t="shared" si="2"/>
        <v>3485.1</v>
      </c>
      <c r="G26" s="21">
        <f t="shared" si="2"/>
        <v>3075.8215</v>
      </c>
      <c r="H26" s="21">
        <f t="shared" si="2"/>
        <v>3162.5186805000003</v>
      </c>
      <c r="I26" s="21">
        <f t="shared" si="2"/>
        <v>3257.6367222345007</v>
      </c>
      <c r="J26" s="21">
        <f t="shared" si="2"/>
        <v>3332.9847301236596</v>
      </c>
      <c r="K26" s="21">
        <f>K27+K28+K29+K30</f>
        <v>19794.161632858162</v>
      </c>
    </row>
    <row r="27" spans="1:11" x14ac:dyDescent="0.25">
      <c r="A27" s="63"/>
      <c r="B27" s="62"/>
      <c r="C27" s="61"/>
      <c r="D27" s="20" t="s">
        <v>24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f>SUM(E27:J27)</f>
        <v>0</v>
      </c>
    </row>
    <row r="28" spans="1:11" x14ac:dyDescent="0.25">
      <c r="A28" s="63"/>
      <c r="B28" s="62"/>
      <c r="C28" s="61"/>
      <c r="D28" s="20" t="s">
        <v>25</v>
      </c>
      <c r="E28" s="21">
        <v>368.2</v>
      </c>
      <c r="F28" s="21">
        <v>368.2</v>
      </c>
      <c r="G28" s="21">
        <v>0</v>
      </c>
      <c r="H28" s="21">
        <v>0</v>
      </c>
      <c r="I28" s="21">
        <v>0</v>
      </c>
      <c r="J28" s="21">
        <f>I28</f>
        <v>0</v>
      </c>
      <c r="K28" s="21">
        <f>SUM(E28:J28)</f>
        <v>736.4</v>
      </c>
    </row>
    <row r="29" spans="1:11" x14ac:dyDescent="0.25">
      <c r="A29" s="63"/>
      <c r="B29" s="62"/>
      <c r="C29" s="61"/>
      <c r="D29" s="20" t="s">
        <v>26</v>
      </c>
      <c r="E29" s="21">
        <v>3071.9</v>
      </c>
      <c r="F29" s="21">
        <v>3071.9</v>
      </c>
      <c r="G29" s="21">
        <f>F29*98.5%</f>
        <v>3025.8215</v>
      </c>
      <c r="H29" s="21">
        <f>G29*102.7%</f>
        <v>3107.5186805000003</v>
      </c>
      <c r="I29" s="21">
        <f>H29*102.9%</f>
        <v>3197.6367222345007</v>
      </c>
      <c r="J29" s="21">
        <f>I29*102.2%</f>
        <v>3267.9847301236596</v>
      </c>
      <c r="K29" s="21">
        <f>SUM(E29:J29)</f>
        <v>18742.761632858161</v>
      </c>
    </row>
    <row r="30" spans="1:11" x14ac:dyDescent="0.25">
      <c r="A30" s="63"/>
      <c r="B30" s="62"/>
      <c r="C30" s="61"/>
      <c r="D30" s="20" t="s">
        <v>27</v>
      </c>
      <c r="E30" s="21">
        <v>40</v>
      </c>
      <c r="F30" s="21">
        <v>45</v>
      </c>
      <c r="G30" s="21">
        <v>50</v>
      </c>
      <c r="H30" s="21">
        <v>55</v>
      </c>
      <c r="I30" s="21">
        <v>60</v>
      </c>
      <c r="J30" s="21">
        <v>65</v>
      </c>
      <c r="K30" s="21">
        <f>SUM(E30:J30)</f>
        <v>315</v>
      </c>
    </row>
    <row r="31" spans="1:11" x14ac:dyDescent="0.25">
      <c r="A31" s="57" t="s">
        <v>38</v>
      </c>
      <c r="B31" s="62" t="s">
        <v>32</v>
      </c>
      <c r="C31" s="61" t="s">
        <v>23</v>
      </c>
      <c r="D31" s="20" t="s">
        <v>20</v>
      </c>
      <c r="E31" s="21">
        <f t="shared" ref="E31:J31" si="3">E32+E33+E34+E35</f>
        <v>5800</v>
      </c>
      <c r="F31" s="21">
        <f t="shared" si="3"/>
        <v>5800</v>
      </c>
      <c r="G31" s="21">
        <f t="shared" si="3"/>
        <v>5713</v>
      </c>
      <c r="H31" s="21">
        <f t="shared" si="3"/>
        <v>5867.2510000000011</v>
      </c>
      <c r="I31" s="21">
        <f t="shared" si="3"/>
        <v>6037.4012790000015</v>
      </c>
      <c r="J31" s="21">
        <f t="shared" si="3"/>
        <v>6170.2241071380013</v>
      </c>
      <c r="K31" s="21">
        <f>K32+K33+K34+K35</f>
        <v>35387.876386137999</v>
      </c>
    </row>
    <row r="32" spans="1:11" x14ac:dyDescent="0.25">
      <c r="A32" s="57"/>
      <c r="B32" s="62"/>
      <c r="C32" s="61"/>
      <c r="D32" s="20" t="s">
        <v>24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SUM(E32:J32)</f>
        <v>0</v>
      </c>
    </row>
    <row r="33" spans="1:11" x14ac:dyDescent="0.25">
      <c r="A33" s="57"/>
      <c r="B33" s="62"/>
      <c r="C33" s="61"/>
      <c r="D33" s="20" t="s">
        <v>25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f>SUM(E33:J33)</f>
        <v>0</v>
      </c>
    </row>
    <row r="34" spans="1:11" x14ac:dyDescent="0.25">
      <c r="A34" s="57"/>
      <c r="B34" s="62"/>
      <c r="C34" s="61"/>
      <c r="D34" s="20" t="s">
        <v>26</v>
      </c>
      <c r="E34" s="21">
        <v>5800</v>
      </c>
      <c r="F34" s="21">
        <v>5800</v>
      </c>
      <c r="G34" s="21">
        <f>F34*98.5%</f>
        <v>5713</v>
      </c>
      <c r="H34" s="21">
        <f>G34*102.7%</f>
        <v>5867.2510000000011</v>
      </c>
      <c r="I34" s="21">
        <f>H34*102.9%</f>
        <v>6037.4012790000015</v>
      </c>
      <c r="J34" s="21">
        <f>I34*102.2%</f>
        <v>6170.2241071380013</v>
      </c>
      <c r="K34" s="21">
        <f>SUM(E34:J34)</f>
        <v>35387.876386137999</v>
      </c>
    </row>
    <row r="35" spans="1:11" x14ac:dyDescent="0.25">
      <c r="A35" s="57"/>
      <c r="B35" s="62"/>
      <c r="C35" s="61"/>
      <c r="D35" s="20" t="s">
        <v>27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f>SUM(E35:J35)</f>
        <v>0</v>
      </c>
    </row>
    <row r="36" spans="1:11" x14ac:dyDescent="0.25">
      <c r="A36" s="57" t="s">
        <v>39</v>
      </c>
      <c r="B36" s="62" t="s">
        <v>33</v>
      </c>
      <c r="C36" s="61" t="s">
        <v>23</v>
      </c>
      <c r="D36" s="20" t="s">
        <v>20</v>
      </c>
      <c r="E36" s="21">
        <f t="shared" ref="E36:J36" si="4">E39+E40</f>
        <v>2000</v>
      </c>
      <c r="F36" s="21">
        <f t="shared" si="4"/>
        <v>2000</v>
      </c>
      <c r="G36" s="21">
        <f t="shared" si="4"/>
        <v>1970</v>
      </c>
      <c r="H36" s="21">
        <f t="shared" si="4"/>
        <v>2023.1900000000003</v>
      </c>
      <c r="I36" s="21">
        <f t="shared" si="4"/>
        <v>2081.8625100000004</v>
      </c>
      <c r="J36" s="21">
        <f t="shared" si="4"/>
        <v>2127.6634852200004</v>
      </c>
      <c r="K36" s="21">
        <f>SUM(E36:J36)</f>
        <v>12202.715995220002</v>
      </c>
    </row>
    <row r="37" spans="1:11" x14ac:dyDescent="0.25">
      <c r="A37" s="57"/>
      <c r="B37" s="62"/>
      <c r="C37" s="61"/>
      <c r="D37" s="20" t="s">
        <v>24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</row>
    <row r="38" spans="1:11" x14ac:dyDescent="0.25">
      <c r="A38" s="57"/>
      <c r="B38" s="62"/>
      <c r="C38" s="61"/>
      <c r="D38" s="20" t="s">
        <v>25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</row>
    <row r="39" spans="1:11" x14ac:dyDescent="0.25">
      <c r="A39" s="57"/>
      <c r="B39" s="62"/>
      <c r="C39" s="61"/>
      <c r="D39" s="20" t="s">
        <v>26</v>
      </c>
      <c r="E39" s="21">
        <v>2000</v>
      </c>
      <c r="F39" s="21">
        <v>2000</v>
      </c>
      <c r="G39" s="21">
        <f>F39*98.5%</f>
        <v>1970</v>
      </c>
      <c r="H39" s="21">
        <f>G39*102.7%</f>
        <v>2023.1900000000003</v>
      </c>
      <c r="I39" s="21">
        <f>H39*102.9%</f>
        <v>2081.8625100000004</v>
      </c>
      <c r="J39" s="21">
        <f>I39*102.2%</f>
        <v>2127.6634852200004</v>
      </c>
      <c r="K39" s="21">
        <f>SUM(E39:J39)</f>
        <v>12202.715995220002</v>
      </c>
    </row>
    <row r="40" spans="1:11" x14ac:dyDescent="0.25">
      <c r="A40" s="57"/>
      <c r="B40" s="62"/>
      <c r="C40" s="61"/>
      <c r="D40" s="20" t="s">
        <v>27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f>E40+F40+G40+H40+I40+J40</f>
        <v>0</v>
      </c>
    </row>
    <row r="41" spans="1:11" x14ac:dyDescent="0.25">
      <c r="A41" s="57" t="s">
        <v>40</v>
      </c>
      <c r="B41" s="62" t="s">
        <v>34</v>
      </c>
      <c r="C41" s="61" t="s">
        <v>23</v>
      </c>
      <c r="D41" s="20" t="s">
        <v>20</v>
      </c>
      <c r="E41" s="21">
        <f t="shared" ref="E41:J41" si="5">E42+E43+E44+E45</f>
        <v>31000</v>
      </c>
      <c r="F41" s="21">
        <f t="shared" si="5"/>
        <v>31000</v>
      </c>
      <c r="G41" s="21">
        <f t="shared" si="5"/>
        <v>3000</v>
      </c>
      <c r="H41" s="21">
        <f t="shared" si="5"/>
        <v>3081.0000000000005</v>
      </c>
      <c r="I41" s="21">
        <f t="shared" si="5"/>
        <v>3170.3490000000011</v>
      </c>
      <c r="J41" s="21">
        <f t="shared" si="5"/>
        <v>3240.0966780000012</v>
      </c>
      <c r="K41" s="21">
        <f>K42+K43+K44+K45</f>
        <v>74491.445678000004</v>
      </c>
    </row>
    <row r="42" spans="1:11" x14ac:dyDescent="0.25">
      <c r="A42" s="57"/>
      <c r="B42" s="62"/>
      <c r="C42" s="61"/>
      <c r="D42" s="20" t="s">
        <v>24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f>SUM(E42:J42)</f>
        <v>0</v>
      </c>
    </row>
    <row r="43" spans="1:11" x14ac:dyDescent="0.25">
      <c r="A43" s="57"/>
      <c r="B43" s="62"/>
      <c r="C43" s="61"/>
      <c r="D43" s="20" t="s">
        <v>25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f>SUM(E43:J43)</f>
        <v>0</v>
      </c>
    </row>
    <row r="44" spans="1:11" x14ac:dyDescent="0.25">
      <c r="A44" s="57"/>
      <c r="B44" s="62"/>
      <c r="C44" s="61"/>
      <c r="D44" s="20" t="s">
        <v>26</v>
      </c>
      <c r="E44" s="21">
        <v>31000</v>
      </c>
      <c r="F44" s="21">
        <v>31000</v>
      </c>
      <c r="G44" s="21">
        <v>3000</v>
      </c>
      <c r="H44" s="21">
        <f>G44*102.7%</f>
        <v>3081.0000000000005</v>
      </c>
      <c r="I44" s="21">
        <f>H44*102.9%</f>
        <v>3170.3490000000011</v>
      </c>
      <c r="J44" s="21">
        <f>I44*102.2%</f>
        <v>3240.0966780000012</v>
      </c>
      <c r="K44" s="21">
        <f>SUM(E44:J44)</f>
        <v>74491.445678000004</v>
      </c>
    </row>
    <row r="45" spans="1:11" x14ac:dyDescent="0.25">
      <c r="A45" s="57"/>
      <c r="B45" s="62"/>
      <c r="C45" s="61"/>
      <c r="D45" s="20" t="s">
        <v>27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f>SUM(E45:J45)</f>
        <v>0</v>
      </c>
    </row>
    <row r="46" spans="1:11" x14ac:dyDescent="0.25">
      <c r="A46" s="57" t="s">
        <v>41</v>
      </c>
      <c r="B46" s="62" t="s">
        <v>35</v>
      </c>
      <c r="C46" s="61" t="s">
        <v>23</v>
      </c>
      <c r="D46" s="20" t="s">
        <v>20</v>
      </c>
      <c r="E46" s="21">
        <f t="shared" ref="E46:J46" si="6">E47+E48+E49+E50</f>
        <v>1800</v>
      </c>
      <c r="F46" s="21">
        <f t="shared" si="6"/>
        <v>1800</v>
      </c>
      <c r="G46" s="21">
        <f t="shared" si="6"/>
        <v>1800</v>
      </c>
      <c r="H46" s="21">
        <f t="shared" si="6"/>
        <v>1800</v>
      </c>
      <c r="I46" s="21">
        <f t="shared" si="6"/>
        <v>1800</v>
      </c>
      <c r="J46" s="21">
        <f t="shared" si="6"/>
        <v>1800</v>
      </c>
      <c r="K46" s="21">
        <f>K47+K48+K49+K50</f>
        <v>10800</v>
      </c>
    </row>
    <row r="47" spans="1:11" x14ac:dyDescent="0.25">
      <c r="A47" s="57"/>
      <c r="B47" s="62"/>
      <c r="C47" s="61"/>
      <c r="D47" s="20" t="s">
        <v>24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f>SUM(E47:J47)</f>
        <v>0</v>
      </c>
    </row>
    <row r="48" spans="1:11" x14ac:dyDescent="0.25">
      <c r="A48" s="57"/>
      <c r="B48" s="62"/>
      <c r="C48" s="61"/>
      <c r="D48" s="20" t="s">
        <v>25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f>SUM(E48:J48)</f>
        <v>0</v>
      </c>
    </row>
    <row r="49" spans="1:11" x14ac:dyDescent="0.25">
      <c r="A49" s="57"/>
      <c r="B49" s="62"/>
      <c r="C49" s="61"/>
      <c r="D49" s="20" t="s">
        <v>26</v>
      </c>
      <c r="E49" s="21">
        <v>1800</v>
      </c>
      <c r="F49" s="21">
        <v>1800</v>
      </c>
      <c r="G49" s="21">
        <v>1800</v>
      </c>
      <c r="H49" s="21">
        <v>1800</v>
      </c>
      <c r="I49" s="21">
        <v>1800</v>
      </c>
      <c r="J49" s="21">
        <v>1800</v>
      </c>
      <c r="K49" s="21">
        <f>SUM(E49:J49)</f>
        <v>10800</v>
      </c>
    </row>
    <row r="50" spans="1:11" x14ac:dyDescent="0.25">
      <c r="A50" s="57"/>
      <c r="B50" s="62"/>
      <c r="C50" s="61"/>
      <c r="D50" s="20" t="s">
        <v>27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f>SUM(E50:J50)</f>
        <v>0</v>
      </c>
    </row>
    <row r="51" spans="1:11" x14ac:dyDescent="0.25">
      <c r="A51" s="57" t="s">
        <v>42</v>
      </c>
      <c r="B51" s="58" t="s">
        <v>36</v>
      </c>
      <c r="C51" s="61" t="s">
        <v>23</v>
      </c>
      <c r="D51" s="20" t="s">
        <v>20</v>
      </c>
      <c r="E51" s="21">
        <f t="shared" ref="E51:J51" si="7">E52+E53+E54+E55</f>
        <v>61607.100000000006</v>
      </c>
      <c r="F51" s="21">
        <f t="shared" si="7"/>
        <v>62166</v>
      </c>
      <c r="G51" s="21">
        <f t="shared" si="7"/>
        <v>67180.774900000004</v>
      </c>
      <c r="H51" s="21">
        <f t="shared" si="7"/>
        <v>69180.29312110001</v>
      </c>
      <c r="I51" s="21">
        <f t="shared" si="7"/>
        <v>71347.252582822926</v>
      </c>
      <c r="J51" s="21">
        <f t="shared" si="7"/>
        <v>73200.791236432022</v>
      </c>
      <c r="K51" s="21">
        <f>K52+K53+K54+K55</f>
        <v>404682.21184035495</v>
      </c>
    </row>
    <row r="52" spans="1:11" x14ac:dyDescent="0.25">
      <c r="A52" s="57"/>
      <c r="B52" s="59"/>
      <c r="C52" s="61"/>
      <c r="D52" s="20" t="s">
        <v>24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f t="shared" ref="K52:K60" si="8">SUM(E52:J52)</f>
        <v>0</v>
      </c>
    </row>
    <row r="53" spans="1:11" x14ac:dyDescent="0.25">
      <c r="A53" s="57"/>
      <c r="B53" s="59"/>
      <c r="C53" s="61"/>
      <c r="D53" s="20" t="s">
        <v>25</v>
      </c>
      <c r="E53" s="21">
        <v>2941.4</v>
      </c>
      <c r="F53" s="21">
        <v>2941.4</v>
      </c>
      <c r="G53" s="21">
        <v>0</v>
      </c>
      <c r="H53" s="21">
        <v>0</v>
      </c>
      <c r="I53" s="21">
        <v>0</v>
      </c>
      <c r="J53" s="21">
        <f>I53</f>
        <v>0</v>
      </c>
      <c r="K53" s="21">
        <f t="shared" si="8"/>
        <v>5882.8</v>
      </c>
    </row>
    <row r="54" spans="1:11" x14ac:dyDescent="0.25">
      <c r="A54" s="57"/>
      <c r="B54" s="59"/>
      <c r="C54" s="61"/>
      <c r="D54" s="20" t="s">
        <v>26</v>
      </c>
      <c r="E54" s="21">
        <v>44335.5</v>
      </c>
      <c r="F54" s="21">
        <v>44335.5</v>
      </c>
      <c r="G54" s="21">
        <v>51711</v>
      </c>
      <c r="H54" s="21">
        <f>G54*102.7%</f>
        <v>53107.197000000007</v>
      </c>
      <c r="I54" s="21">
        <f>H54*102.9%</f>
        <v>54647.305713000016</v>
      </c>
      <c r="J54" s="21">
        <f>I54*102.2%</f>
        <v>55849.546438686019</v>
      </c>
      <c r="K54" s="21">
        <f t="shared" si="8"/>
        <v>303986.04915168602</v>
      </c>
    </row>
    <row r="55" spans="1:11" x14ac:dyDescent="0.25">
      <c r="A55" s="57"/>
      <c r="B55" s="60"/>
      <c r="C55" s="61"/>
      <c r="D55" s="20" t="s">
        <v>27</v>
      </c>
      <c r="E55" s="21">
        <v>14330.2</v>
      </c>
      <c r="F55" s="21">
        <v>14889.1</v>
      </c>
      <c r="G55" s="21">
        <f>F55*103.9%</f>
        <v>15469.774900000002</v>
      </c>
      <c r="H55" s="21">
        <f>G55*103.9%</f>
        <v>16073.096121100005</v>
      </c>
      <c r="I55" s="21">
        <f>H55*103.9%</f>
        <v>16699.946869822907</v>
      </c>
      <c r="J55" s="21">
        <f>I55*103.9%</f>
        <v>17351.244797746003</v>
      </c>
      <c r="K55" s="21">
        <f t="shared" si="8"/>
        <v>94813.362688668916</v>
      </c>
    </row>
    <row r="56" spans="1:11" x14ac:dyDescent="0.25">
      <c r="A56" s="61"/>
      <c r="B56" s="61"/>
      <c r="C56" s="61" t="s">
        <v>37</v>
      </c>
      <c r="D56" s="19" t="s">
        <v>20</v>
      </c>
      <c r="E56" s="21">
        <f t="shared" ref="E56:F60" si="9">E16+E21+E26+E31+E36+E41+E46+E51</f>
        <v>210629.2</v>
      </c>
      <c r="F56" s="21">
        <f t="shared" si="9"/>
        <v>213283.3</v>
      </c>
      <c r="G56" s="21">
        <f t="shared" ref="G56:J60" si="10">G16+G21+G26+G31+G36+G41+G46+G51</f>
        <v>190024.58920000002</v>
      </c>
      <c r="H56" s="21">
        <f t="shared" si="10"/>
        <v>195333.28147600003</v>
      </c>
      <c r="I56" s="21">
        <f t="shared" si="10"/>
        <v>200984.27502232866</v>
      </c>
      <c r="J56" s="21">
        <f t="shared" si="10"/>
        <v>206117.2175448357</v>
      </c>
      <c r="K56" s="21">
        <f t="shared" si="8"/>
        <v>1216371.8632431645</v>
      </c>
    </row>
    <row r="57" spans="1:11" x14ac:dyDescent="0.25">
      <c r="A57" s="61"/>
      <c r="B57" s="61"/>
      <c r="C57" s="61"/>
      <c r="D57" s="19" t="s">
        <v>24</v>
      </c>
      <c r="E57" s="21">
        <f t="shared" si="9"/>
        <v>0</v>
      </c>
      <c r="F57" s="21">
        <f t="shared" si="9"/>
        <v>0</v>
      </c>
      <c r="G57" s="21">
        <f t="shared" si="10"/>
        <v>0</v>
      </c>
      <c r="H57" s="21">
        <f t="shared" si="10"/>
        <v>0</v>
      </c>
      <c r="I57" s="21">
        <f t="shared" si="10"/>
        <v>0</v>
      </c>
      <c r="J57" s="21">
        <f t="shared" si="10"/>
        <v>0</v>
      </c>
      <c r="K57" s="21">
        <f t="shared" si="8"/>
        <v>0</v>
      </c>
    </row>
    <row r="58" spans="1:11" x14ac:dyDescent="0.25">
      <c r="A58" s="61"/>
      <c r="B58" s="61"/>
      <c r="C58" s="61"/>
      <c r="D58" s="19" t="s">
        <v>25</v>
      </c>
      <c r="E58" s="21">
        <f t="shared" si="9"/>
        <v>4782.6000000000004</v>
      </c>
      <c r="F58" s="21">
        <f t="shared" si="9"/>
        <v>4782.6000000000004</v>
      </c>
      <c r="G58" s="21">
        <f t="shared" si="10"/>
        <v>0</v>
      </c>
      <c r="H58" s="21">
        <f t="shared" si="10"/>
        <v>0</v>
      </c>
      <c r="I58" s="21">
        <f t="shared" si="10"/>
        <v>0</v>
      </c>
      <c r="J58" s="21">
        <f t="shared" si="10"/>
        <v>0</v>
      </c>
      <c r="K58" s="21">
        <f t="shared" si="8"/>
        <v>9565.2000000000007</v>
      </c>
    </row>
    <row r="59" spans="1:11" x14ac:dyDescent="0.25">
      <c r="A59" s="61"/>
      <c r="B59" s="61"/>
      <c r="C59" s="61"/>
      <c r="D59" s="19" t="s">
        <v>26</v>
      </c>
      <c r="E59" s="21">
        <f t="shared" si="9"/>
        <v>115629</v>
      </c>
      <c r="F59" s="21">
        <f t="shared" si="9"/>
        <v>115629</v>
      </c>
      <c r="G59" s="21">
        <f t="shared" si="10"/>
        <v>94427.097500000003</v>
      </c>
      <c r="H59" s="21">
        <f t="shared" si="10"/>
        <v>96928.029132500014</v>
      </c>
      <c r="I59" s="21">
        <f t="shared" si="10"/>
        <v>99686.741977342521</v>
      </c>
      <c r="J59" s="21">
        <f t="shared" si="10"/>
        <v>101840.25030084407</v>
      </c>
      <c r="K59" s="21">
        <f t="shared" si="8"/>
        <v>624140.11891068658</v>
      </c>
    </row>
    <row r="60" spans="1:11" x14ac:dyDescent="0.25">
      <c r="A60" s="61"/>
      <c r="B60" s="61"/>
      <c r="C60" s="61"/>
      <c r="D60" s="19" t="s">
        <v>27</v>
      </c>
      <c r="E60" s="21">
        <f t="shared" si="9"/>
        <v>90217.599999999991</v>
      </c>
      <c r="F60" s="21">
        <f t="shared" si="9"/>
        <v>92871.700000000012</v>
      </c>
      <c r="G60" s="21">
        <f t="shared" si="10"/>
        <v>95597.491700000013</v>
      </c>
      <c r="H60" s="21">
        <f t="shared" si="10"/>
        <v>98405.252343500018</v>
      </c>
      <c r="I60" s="21">
        <f t="shared" si="10"/>
        <v>101297.53304498614</v>
      </c>
      <c r="J60" s="21">
        <f t="shared" si="10"/>
        <v>104276.96724399168</v>
      </c>
      <c r="K60" s="21">
        <f t="shared" si="8"/>
        <v>582666.54433247785</v>
      </c>
    </row>
    <row r="63" spans="1:11" x14ac:dyDescent="0.25">
      <c r="G63" s="23">
        <f>F5-G59</f>
        <v>24178.328500000003</v>
      </c>
      <c r="H63" s="23">
        <f>G5-H59</f>
        <v>24879.743369499978</v>
      </c>
      <c r="I63" s="23">
        <f>H5-I59</f>
        <v>25653.455927215458</v>
      </c>
      <c r="J63" s="23">
        <f>I5-J59</f>
        <v>26257.431957614186</v>
      </c>
    </row>
  </sheetData>
  <mergeCells count="34">
    <mergeCell ref="A1:I1"/>
    <mergeCell ref="A9:K9"/>
    <mergeCell ref="A10:K10"/>
    <mergeCell ref="A12:A14"/>
    <mergeCell ref="B12:B14"/>
    <mergeCell ref="C12:C14"/>
    <mergeCell ref="D12:D14"/>
    <mergeCell ref="E12:K13"/>
    <mergeCell ref="A26:A30"/>
    <mergeCell ref="B26:B30"/>
    <mergeCell ref="C26:C30"/>
    <mergeCell ref="A16:A20"/>
    <mergeCell ref="B16:B20"/>
    <mergeCell ref="C16:C20"/>
    <mergeCell ref="A21:A25"/>
    <mergeCell ref="B21:B25"/>
    <mergeCell ref="C21:C25"/>
    <mergeCell ref="C46:C50"/>
    <mergeCell ref="A31:A35"/>
    <mergeCell ref="B31:B35"/>
    <mergeCell ref="C31:C35"/>
    <mergeCell ref="A36:A40"/>
    <mergeCell ref="B36:B40"/>
    <mergeCell ref="C36:C40"/>
    <mergeCell ref="A51:A55"/>
    <mergeCell ref="B51:B55"/>
    <mergeCell ref="C51:C55"/>
    <mergeCell ref="A56:B60"/>
    <mergeCell ref="C56:C60"/>
    <mergeCell ref="A41:A45"/>
    <mergeCell ref="B41:B45"/>
    <mergeCell ref="C41:C45"/>
    <mergeCell ref="A46:A50"/>
    <mergeCell ref="B46:B50"/>
  </mergeCells>
  <pageMargins left="0.51181102362204722" right="0.31496062992125984" top="0.55118110236220474" bottom="0.19685039370078741" header="0" footer="0"/>
  <pageSetup paperSize="8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5" workbookViewId="0">
      <pane xSplit="6" ySplit="16" topLeftCell="G21" activePane="bottomRight" state="frozen"/>
      <selection activeCell="A5" sqref="A5"/>
      <selection pane="topRight" activeCell="G5" sqref="G5"/>
      <selection pane="bottomLeft" activeCell="A21" sqref="A21"/>
      <selection pane="bottomRight" activeCell="J7" sqref="J7:J8"/>
    </sheetView>
  </sheetViews>
  <sheetFormatPr defaultRowHeight="15" x14ac:dyDescent="0.25"/>
  <cols>
    <col min="1" max="1" width="7.140625" customWidth="1"/>
    <col min="2" max="2" width="56" customWidth="1"/>
    <col min="3" max="3" width="14.7109375" customWidth="1"/>
    <col min="4" max="4" width="13.7109375" customWidth="1"/>
    <col min="5" max="5" width="14.140625" customWidth="1"/>
    <col min="6" max="6" width="14.85546875" customWidth="1"/>
    <col min="7" max="7" width="12.85546875" customWidth="1"/>
    <col min="8" max="8" width="13.7109375" customWidth="1"/>
    <col min="9" max="9" width="14.140625" customWidth="1"/>
    <col min="10" max="10" width="11.5703125" bestFit="1" customWidth="1"/>
    <col min="11" max="11" width="13.28515625" customWidth="1"/>
  </cols>
  <sheetData>
    <row r="1" spans="1:11" ht="51" customHeight="1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</row>
    <row r="2" spans="1:11" ht="21" customHeight="1" x14ac:dyDescent="0.25">
      <c r="A2" t="s">
        <v>13</v>
      </c>
      <c r="B2" s="7"/>
      <c r="C2" s="7"/>
      <c r="D2" s="7"/>
      <c r="E2" s="7"/>
      <c r="F2" s="7"/>
      <c r="G2" s="7"/>
      <c r="H2" s="7"/>
      <c r="I2" s="7"/>
    </row>
    <row r="3" spans="1:11" ht="94.5" customHeight="1" x14ac:dyDescent="0.25">
      <c r="A3" s="9" t="s">
        <v>7</v>
      </c>
      <c r="B3" s="8" t="s">
        <v>9</v>
      </c>
      <c r="C3" s="8" t="s">
        <v>2</v>
      </c>
      <c r="D3" s="8" t="s">
        <v>1</v>
      </c>
      <c r="E3" s="8" t="s">
        <v>0</v>
      </c>
      <c r="F3" s="8" t="s">
        <v>3</v>
      </c>
      <c r="G3" s="8" t="s">
        <v>4</v>
      </c>
      <c r="H3" s="8" t="s">
        <v>5</v>
      </c>
      <c r="I3" s="8" t="s">
        <v>6</v>
      </c>
    </row>
    <row r="4" spans="1:11" ht="18" customHeight="1" x14ac:dyDescent="0.25">
      <c r="A4" s="9">
        <v>1</v>
      </c>
      <c r="B4" s="1">
        <v>2</v>
      </c>
      <c r="C4" s="1">
        <v>5</v>
      </c>
      <c r="D4" s="1">
        <v>6</v>
      </c>
      <c r="E4" s="1">
        <v>7</v>
      </c>
      <c r="F4" s="6">
        <v>8</v>
      </c>
      <c r="G4" s="6">
        <v>9</v>
      </c>
      <c r="H4" s="6">
        <v>10</v>
      </c>
      <c r="I4" s="6">
        <v>11</v>
      </c>
    </row>
    <row r="5" spans="1:11" ht="31.5" x14ac:dyDescent="0.25">
      <c r="A5" s="10" t="s">
        <v>8</v>
      </c>
      <c r="B5" s="2" t="s">
        <v>11</v>
      </c>
      <c r="C5" s="3">
        <v>114911.6</v>
      </c>
      <c r="D5" s="3">
        <v>120411.6</v>
      </c>
      <c r="E5" s="3">
        <v>120411.6</v>
      </c>
      <c r="F5" s="3">
        <f>E5*F6</f>
        <v>118605.42600000001</v>
      </c>
      <c r="G5" s="3">
        <f>F5*G6</f>
        <v>121807.77250199999</v>
      </c>
      <c r="H5" s="3">
        <f>G5*H6</f>
        <v>125340.19790455798</v>
      </c>
      <c r="I5" s="3">
        <f>H5*I6</f>
        <v>128097.68225845826</v>
      </c>
    </row>
    <row r="6" spans="1:11" s="12" customFormat="1" ht="15.75" x14ac:dyDescent="0.25">
      <c r="A6" s="11"/>
      <c r="B6" s="14" t="s">
        <v>10</v>
      </c>
      <c r="C6" s="15"/>
      <c r="D6" s="15"/>
      <c r="E6" s="15"/>
      <c r="F6" s="16">
        <v>0.98499999999999999</v>
      </c>
      <c r="G6" s="16">
        <v>1.0269999999999999</v>
      </c>
      <c r="H6" s="16">
        <v>1.0289999999999999</v>
      </c>
      <c r="I6" s="16">
        <v>1.022</v>
      </c>
    </row>
    <row r="7" spans="1:11" x14ac:dyDescent="0.25">
      <c r="B7" s="4"/>
      <c r="C7" s="4"/>
      <c r="D7" s="4">
        <f>D5+30000</f>
        <v>150411.6</v>
      </c>
      <c r="E7" s="4"/>
      <c r="F7" s="4"/>
      <c r="G7" s="4"/>
      <c r="H7" s="4"/>
      <c r="I7" s="4"/>
      <c r="J7" s="23">
        <f>D7+E5+F5+G5+H5+I5</f>
        <v>764674.27866501629</v>
      </c>
    </row>
    <row r="8" spans="1:11" x14ac:dyDescent="0.25">
      <c r="B8" s="5"/>
      <c r="C8" s="13"/>
      <c r="D8" s="13"/>
      <c r="E8" s="13"/>
      <c r="F8" s="13"/>
      <c r="G8" s="13"/>
      <c r="H8" s="13"/>
      <c r="I8" s="13"/>
      <c r="J8">
        <v>582000</v>
      </c>
      <c r="K8" s="23">
        <f>J7+J8</f>
        <v>1346674.2786650164</v>
      </c>
    </row>
    <row r="9" spans="1:11" x14ac:dyDescent="0.25">
      <c r="A9" s="73" t="s">
        <v>14</v>
      </c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A10" s="73" t="s">
        <v>15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x14ac:dyDescent="0.25">
      <c r="A11" s="17" t="s">
        <v>43</v>
      </c>
      <c r="B11" s="18"/>
      <c r="C11" s="18"/>
      <c r="D11" s="18"/>
      <c r="E11" s="18"/>
      <c r="F11" s="18"/>
      <c r="G11" s="22">
        <v>98.5</v>
      </c>
      <c r="H11" s="22">
        <v>102.7</v>
      </c>
      <c r="I11" s="22">
        <v>102.9</v>
      </c>
      <c r="J11" s="22">
        <v>102.2</v>
      </c>
      <c r="K11" s="18"/>
    </row>
    <row r="12" spans="1:11" x14ac:dyDescent="0.25">
      <c r="A12" s="61" t="s">
        <v>7</v>
      </c>
      <c r="B12" s="61" t="s">
        <v>16</v>
      </c>
      <c r="C12" s="61" t="s">
        <v>17</v>
      </c>
      <c r="D12" s="61" t="s">
        <v>18</v>
      </c>
      <c r="E12" s="61" t="s">
        <v>19</v>
      </c>
      <c r="F12" s="61"/>
      <c r="G12" s="61"/>
      <c r="H12" s="61"/>
      <c r="I12" s="61"/>
      <c r="J12" s="61"/>
      <c r="K12" s="61"/>
    </row>
    <row r="13" spans="1:1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1" x14ac:dyDescent="0.25">
      <c r="A14" s="61"/>
      <c r="B14" s="61"/>
      <c r="C14" s="61"/>
      <c r="D14" s="61"/>
      <c r="E14" s="19" t="s">
        <v>1</v>
      </c>
      <c r="F14" s="19" t="s">
        <v>0</v>
      </c>
      <c r="G14" s="20" t="s">
        <v>3</v>
      </c>
      <c r="H14" s="19" t="s">
        <v>4</v>
      </c>
      <c r="I14" s="19" t="s">
        <v>5</v>
      </c>
      <c r="J14" s="19" t="s">
        <v>6</v>
      </c>
      <c r="K14" s="19" t="s">
        <v>20</v>
      </c>
    </row>
    <row r="15" spans="1:11" x14ac:dyDescent="0.25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19">
        <v>6</v>
      </c>
      <c r="G15" s="19">
        <v>7</v>
      </c>
      <c r="H15" s="19">
        <v>8</v>
      </c>
      <c r="I15" s="19">
        <v>9</v>
      </c>
      <c r="J15" s="19">
        <v>10</v>
      </c>
      <c r="K15" s="19">
        <v>11</v>
      </c>
    </row>
    <row r="16" spans="1:11" x14ac:dyDescent="0.25">
      <c r="A16" s="64" t="s">
        <v>21</v>
      </c>
      <c r="B16" s="65" t="s">
        <v>22</v>
      </c>
      <c r="C16" s="61" t="s">
        <v>23</v>
      </c>
      <c r="D16" s="19" t="s">
        <v>20</v>
      </c>
      <c r="E16" s="21">
        <f t="shared" ref="E16:J16" si="0">SUM(E17:E20)</f>
        <v>9486.7999999999993</v>
      </c>
      <c r="F16" s="21">
        <f t="shared" si="0"/>
        <v>9577</v>
      </c>
      <c r="G16" s="21">
        <f t="shared" si="0"/>
        <v>8112.2207999999991</v>
      </c>
      <c r="H16" s="21">
        <f t="shared" si="0"/>
        <v>8368.5918303999988</v>
      </c>
      <c r="I16" s="21">
        <f t="shared" si="0"/>
        <v>8645.3593863951992</v>
      </c>
      <c r="J16" s="21">
        <f t="shared" si="0"/>
        <v>8888.8729386092218</v>
      </c>
      <c r="K16" s="21">
        <f>K17+K18+K19+K20</f>
        <v>53078.84495540442</v>
      </c>
    </row>
    <row r="17" spans="1:11" x14ac:dyDescent="0.25">
      <c r="A17" s="64"/>
      <c r="B17" s="65"/>
      <c r="C17" s="61"/>
      <c r="D17" s="19" t="s">
        <v>24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f>SUM(E17:J17)</f>
        <v>0</v>
      </c>
    </row>
    <row r="18" spans="1:11" x14ac:dyDescent="0.25">
      <c r="A18" s="64"/>
      <c r="B18" s="65"/>
      <c r="C18" s="61"/>
      <c r="D18" s="19" t="s">
        <v>25</v>
      </c>
      <c r="E18" s="21">
        <v>1473</v>
      </c>
      <c r="F18" s="21">
        <v>1473</v>
      </c>
      <c r="G18" s="21">
        <v>0</v>
      </c>
      <c r="H18" s="21">
        <v>0</v>
      </c>
      <c r="I18" s="21">
        <v>0</v>
      </c>
      <c r="J18" s="21">
        <v>0</v>
      </c>
      <c r="K18" s="21">
        <f>SUM(E18:J18)</f>
        <v>2946</v>
      </c>
    </row>
    <row r="19" spans="1:11" x14ac:dyDescent="0.25">
      <c r="A19" s="64"/>
      <c r="B19" s="65"/>
      <c r="C19" s="61"/>
      <c r="D19" s="19" t="s">
        <v>26</v>
      </c>
      <c r="E19" s="21">
        <v>5866.4</v>
      </c>
      <c r="F19" s="21">
        <v>5866.4</v>
      </c>
      <c r="G19" s="21">
        <f>F19*98.5%</f>
        <v>5778.4039999999995</v>
      </c>
      <c r="H19" s="21">
        <f>G19*102.7%</f>
        <v>5934.4209080000001</v>
      </c>
      <c r="I19" s="21">
        <f>H19*102.9%</f>
        <v>6106.5191143320008</v>
      </c>
      <c r="J19" s="21">
        <f>I19*102.2%</f>
        <v>6240.8625348473051</v>
      </c>
      <c r="K19" s="21">
        <f>SUM(E19:J19)</f>
        <v>35793.006557179302</v>
      </c>
    </row>
    <row r="20" spans="1:11" x14ac:dyDescent="0.25">
      <c r="A20" s="64"/>
      <c r="B20" s="65"/>
      <c r="C20" s="61"/>
      <c r="D20" s="19" t="s">
        <v>27</v>
      </c>
      <c r="E20" s="21">
        <v>2147.4</v>
      </c>
      <c r="F20" s="21">
        <v>2237.6</v>
      </c>
      <c r="G20" s="21">
        <f>F20*104.3%</f>
        <v>2333.8167999999996</v>
      </c>
      <c r="H20" s="21">
        <f>G20*104.3%</f>
        <v>2434.1709223999992</v>
      </c>
      <c r="I20" s="21">
        <f>H20*104.3%</f>
        <v>2538.8402720631989</v>
      </c>
      <c r="J20" s="21">
        <f>I20*104.3%</f>
        <v>2648.0104037619162</v>
      </c>
      <c r="K20" s="21">
        <f>SUM(E20:J20)</f>
        <v>14339.838398225114</v>
      </c>
    </row>
    <row r="21" spans="1:11" x14ac:dyDescent="0.25">
      <c r="A21" s="66" t="s">
        <v>28</v>
      </c>
      <c r="B21" s="68" t="s">
        <v>29</v>
      </c>
      <c r="C21" s="70" t="s">
        <v>23</v>
      </c>
      <c r="D21" s="19" t="s">
        <v>20</v>
      </c>
      <c r="E21" s="21">
        <f t="shared" ref="E21:J21" si="1">SUM(E22:E25)</f>
        <v>95455.2</v>
      </c>
      <c r="F21" s="21">
        <f t="shared" si="1"/>
        <v>97455.2</v>
      </c>
      <c r="G21" s="21">
        <f t="shared" si="1"/>
        <v>99172.772000000012</v>
      </c>
      <c r="H21" s="21">
        <f t="shared" si="1"/>
        <v>101850.43684400001</v>
      </c>
      <c r="I21" s="21">
        <f t="shared" si="1"/>
        <v>104644.41354187604</v>
      </c>
      <c r="J21" s="21">
        <f t="shared" si="1"/>
        <v>107356.58436931283</v>
      </c>
      <c r="K21" s="21">
        <f>K22+K23+K24+K25</f>
        <v>605934.6067551889</v>
      </c>
    </row>
    <row r="22" spans="1:11" x14ac:dyDescent="0.25">
      <c r="A22" s="67"/>
      <c r="B22" s="69"/>
      <c r="C22" s="71"/>
      <c r="D22" s="19" t="s">
        <v>24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f>SUM(E22:J22)</f>
        <v>0</v>
      </c>
    </row>
    <row r="23" spans="1:11" x14ac:dyDescent="0.25">
      <c r="A23" s="67"/>
      <c r="B23" s="69"/>
      <c r="C23" s="71"/>
      <c r="D23" s="19" t="s">
        <v>25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f>SUM(E23:J23)</f>
        <v>0</v>
      </c>
    </row>
    <row r="24" spans="1:11" x14ac:dyDescent="0.25">
      <c r="A24" s="67"/>
      <c r="B24" s="69"/>
      <c r="C24" s="71"/>
      <c r="D24" s="19" t="s">
        <v>26</v>
      </c>
      <c r="E24" s="21">
        <v>21755.200000000001</v>
      </c>
      <c r="F24" s="21">
        <v>21755.200000000001</v>
      </c>
      <c r="G24" s="21">
        <f>F24*98.5%</f>
        <v>21428.871999999999</v>
      </c>
      <c r="H24" s="21">
        <f>G24*102.7%</f>
        <v>22007.451544000003</v>
      </c>
      <c r="I24" s="21">
        <f>H24*102.9%</f>
        <v>22645.667638776005</v>
      </c>
      <c r="J24" s="21">
        <f>I24*102.2%</f>
        <v>23143.872326829078</v>
      </c>
      <c r="K24" s="21">
        <f>SUM(E24:J24)</f>
        <v>132736.26350960508</v>
      </c>
    </row>
    <row r="25" spans="1:11" x14ac:dyDescent="0.25">
      <c r="A25" s="67"/>
      <c r="B25" s="69"/>
      <c r="C25" s="72"/>
      <c r="D25" s="19" t="s">
        <v>27</v>
      </c>
      <c r="E25" s="21">
        <v>73700</v>
      </c>
      <c r="F25" s="21">
        <v>75700</v>
      </c>
      <c r="G25" s="21">
        <f>F25*102.7%</f>
        <v>77743.900000000009</v>
      </c>
      <c r="H25" s="21">
        <f>G25*102.7%</f>
        <v>79842.985300000015</v>
      </c>
      <c r="I25" s="21">
        <f>H25*102.7%</f>
        <v>81998.745903100033</v>
      </c>
      <c r="J25" s="21">
        <f>I25*102.7%</f>
        <v>84212.712042483749</v>
      </c>
      <c r="K25" s="21">
        <f>SUM(E25:J25)</f>
        <v>473198.34324558382</v>
      </c>
    </row>
    <row r="26" spans="1:11" x14ac:dyDescent="0.25">
      <c r="A26" s="63" t="s">
        <v>30</v>
      </c>
      <c r="B26" s="62" t="s">
        <v>31</v>
      </c>
      <c r="C26" s="61" t="s">
        <v>23</v>
      </c>
      <c r="D26" s="20" t="s">
        <v>20</v>
      </c>
      <c r="E26" s="21">
        <f t="shared" ref="E26:J26" si="2">E27+E28+E29+E30</f>
        <v>3480.1</v>
      </c>
      <c r="F26" s="21">
        <f t="shared" si="2"/>
        <v>3485.1</v>
      </c>
      <c r="G26" s="21">
        <f t="shared" si="2"/>
        <v>3075.8215</v>
      </c>
      <c r="H26" s="21">
        <f t="shared" si="2"/>
        <v>3162.5186805000003</v>
      </c>
      <c r="I26" s="21">
        <f t="shared" si="2"/>
        <v>3257.6367222345007</v>
      </c>
      <c r="J26" s="21">
        <f t="shared" si="2"/>
        <v>3332.9847301236596</v>
      </c>
      <c r="K26" s="21">
        <f>K27+K28+K29+K30</f>
        <v>19794.161632858162</v>
      </c>
    </row>
    <row r="27" spans="1:11" x14ac:dyDescent="0.25">
      <c r="A27" s="63"/>
      <c r="B27" s="62"/>
      <c r="C27" s="61"/>
      <c r="D27" s="20" t="s">
        <v>24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f>SUM(E27:J27)</f>
        <v>0</v>
      </c>
    </row>
    <row r="28" spans="1:11" x14ac:dyDescent="0.25">
      <c r="A28" s="63"/>
      <c r="B28" s="62"/>
      <c r="C28" s="61"/>
      <c r="D28" s="20" t="s">
        <v>25</v>
      </c>
      <c r="E28" s="21">
        <v>368.2</v>
      </c>
      <c r="F28" s="21">
        <v>368.2</v>
      </c>
      <c r="G28" s="21">
        <v>0</v>
      </c>
      <c r="H28" s="21">
        <v>0</v>
      </c>
      <c r="I28" s="21">
        <v>0</v>
      </c>
      <c r="J28" s="21">
        <f>I28</f>
        <v>0</v>
      </c>
      <c r="K28" s="21">
        <f>SUM(E28:J28)</f>
        <v>736.4</v>
      </c>
    </row>
    <row r="29" spans="1:11" x14ac:dyDescent="0.25">
      <c r="A29" s="63"/>
      <c r="B29" s="62"/>
      <c r="C29" s="61"/>
      <c r="D29" s="20" t="s">
        <v>26</v>
      </c>
      <c r="E29" s="21">
        <v>3071.9</v>
      </c>
      <c r="F29" s="21">
        <v>3071.9</v>
      </c>
      <c r="G29" s="21">
        <f>F29*98.5%</f>
        <v>3025.8215</v>
      </c>
      <c r="H29" s="21">
        <f>G29*102.7%</f>
        <v>3107.5186805000003</v>
      </c>
      <c r="I29" s="21">
        <f>H29*102.9%</f>
        <v>3197.6367222345007</v>
      </c>
      <c r="J29" s="21">
        <f>I29*102.2%</f>
        <v>3267.9847301236596</v>
      </c>
      <c r="K29" s="21">
        <f>SUM(E29:J29)</f>
        <v>18742.761632858161</v>
      </c>
    </row>
    <row r="30" spans="1:11" x14ac:dyDescent="0.25">
      <c r="A30" s="63"/>
      <c r="B30" s="62"/>
      <c r="C30" s="61"/>
      <c r="D30" s="20" t="s">
        <v>27</v>
      </c>
      <c r="E30" s="21">
        <v>40</v>
      </c>
      <c r="F30" s="21">
        <v>45</v>
      </c>
      <c r="G30" s="21">
        <v>50</v>
      </c>
      <c r="H30" s="21">
        <v>55</v>
      </c>
      <c r="I30" s="21">
        <v>60</v>
      </c>
      <c r="J30" s="21">
        <v>65</v>
      </c>
      <c r="K30" s="21">
        <f>SUM(E30:J30)</f>
        <v>315</v>
      </c>
    </row>
    <row r="31" spans="1:11" x14ac:dyDescent="0.25">
      <c r="A31" s="57" t="s">
        <v>38</v>
      </c>
      <c r="B31" s="62" t="s">
        <v>32</v>
      </c>
      <c r="C31" s="61" t="s">
        <v>23</v>
      </c>
      <c r="D31" s="20" t="s">
        <v>20</v>
      </c>
      <c r="E31" s="21">
        <f t="shared" ref="E31:J31" si="3">E32+E33+E34+E35</f>
        <v>5800</v>
      </c>
      <c r="F31" s="21">
        <f t="shared" si="3"/>
        <v>5800</v>
      </c>
      <c r="G31" s="21">
        <f t="shared" si="3"/>
        <v>5713</v>
      </c>
      <c r="H31" s="21">
        <f t="shared" si="3"/>
        <v>5867.2510000000011</v>
      </c>
      <c r="I31" s="21">
        <f t="shared" si="3"/>
        <v>6037.4012790000015</v>
      </c>
      <c r="J31" s="21">
        <f t="shared" si="3"/>
        <v>6170.2241071380013</v>
      </c>
      <c r="K31" s="21">
        <f>K32+K33+K34+K35</f>
        <v>35387.876386137999</v>
      </c>
    </row>
    <row r="32" spans="1:11" x14ac:dyDescent="0.25">
      <c r="A32" s="57"/>
      <c r="B32" s="62"/>
      <c r="C32" s="61"/>
      <c r="D32" s="20" t="s">
        <v>24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SUM(E32:J32)</f>
        <v>0</v>
      </c>
    </row>
    <row r="33" spans="1:11" x14ac:dyDescent="0.25">
      <c r="A33" s="57"/>
      <c r="B33" s="62"/>
      <c r="C33" s="61"/>
      <c r="D33" s="20" t="s">
        <v>25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f>SUM(E33:J33)</f>
        <v>0</v>
      </c>
    </row>
    <row r="34" spans="1:11" x14ac:dyDescent="0.25">
      <c r="A34" s="57"/>
      <c r="B34" s="62"/>
      <c r="C34" s="61"/>
      <c r="D34" s="20" t="s">
        <v>26</v>
      </c>
      <c r="E34" s="21">
        <v>5800</v>
      </c>
      <c r="F34" s="21">
        <v>5800</v>
      </c>
      <c r="G34" s="21">
        <f>F34*98.5%</f>
        <v>5713</v>
      </c>
      <c r="H34" s="21">
        <f>G34*102.7%</f>
        <v>5867.2510000000011</v>
      </c>
      <c r="I34" s="21">
        <f>H34*102.9%</f>
        <v>6037.4012790000015</v>
      </c>
      <c r="J34" s="21">
        <f>I34*102.2%</f>
        <v>6170.2241071380013</v>
      </c>
      <c r="K34" s="21">
        <f>SUM(E34:J34)</f>
        <v>35387.876386137999</v>
      </c>
    </row>
    <row r="35" spans="1:11" x14ac:dyDescent="0.25">
      <c r="A35" s="57"/>
      <c r="B35" s="62"/>
      <c r="C35" s="61"/>
      <c r="D35" s="20" t="s">
        <v>27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f>SUM(E35:J35)</f>
        <v>0</v>
      </c>
    </row>
    <row r="36" spans="1:11" x14ac:dyDescent="0.25">
      <c r="A36" s="57" t="s">
        <v>39</v>
      </c>
      <c r="B36" s="62" t="s">
        <v>33</v>
      </c>
      <c r="C36" s="61" t="s">
        <v>23</v>
      </c>
      <c r="D36" s="20" t="s">
        <v>20</v>
      </c>
      <c r="E36" s="21">
        <f t="shared" ref="E36:J36" si="4">E39+E40</f>
        <v>2000</v>
      </c>
      <c r="F36" s="21">
        <f t="shared" si="4"/>
        <v>2000</v>
      </c>
      <c r="G36" s="21">
        <f t="shared" si="4"/>
        <v>1970</v>
      </c>
      <c r="H36" s="21">
        <f t="shared" si="4"/>
        <v>2023.1900000000003</v>
      </c>
      <c r="I36" s="21">
        <f t="shared" si="4"/>
        <v>2081.8625100000004</v>
      </c>
      <c r="J36" s="21">
        <f t="shared" si="4"/>
        <v>2127.6634852200004</v>
      </c>
      <c r="K36" s="21">
        <f>SUM(E36:J36)</f>
        <v>12202.715995220002</v>
      </c>
    </row>
    <row r="37" spans="1:11" x14ac:dyDescent="0.25">
      <c r="A37" s="57"/>
      <c r="B37" s="62"/>
      <c r="C37" s="61"/>
      <c r="D37" s="20" t="s">
        <v>24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</row>
    <row r="38" spans="1:11" x14ac:dyDescent="0.25">
      <c r="A38" s="57"/>
      <c r="B38" s="62"/>
      <c r="C38" s="61"/>
      <c r="D38" s="20" t="s">
        <v>25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</row>
    <row r="39" spans="1:11" x14ac:dyDescent="0.25">
      <c r="A39" s="57"/>
      <c r="B39" s="62"/>
      <c r="C39" s="61"/>
      <c r="D39" s="20" t="s">
        <v>26</v>
      </c>
      <c r="E39" s="21">
        <v>2000</v>
      </c>
      <c r="F39" s="21">
        <v>2000</v>
      </c>
      <c r="G39" s="21">
        <f>F39*98.5%</f>
        <v>1970</v>
      </c>
      <c r="H39" s="21">
        <f>G39*102.7%</f>
        <v>2023.1900000000003</v>
      </c>
      <c r="I39" s="21">
        <f>H39*102.9%</f>
        <v>2081.8625100000004</v>
      </c>
      <c r="J39" s="21">
        <f>I39*102.2%</f>
        <v>2127.6634852200004</v>
      </c>
      <c r="K39" s="21">
        <f>SUM(E39:J39)</f>
        <v>12202.715995220002</v>
      </c>
    </row>
    <row r="40" spans="1:11" x14ac:dyDescent="0.25">
      <c r="A40" s="57"/>
      <c r="B40" s="62"/>
      <c r="C40" s="61"/>
      <c r="D40" s="20" t="s">
        <v>27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f>E40+F40+G40+H40+I40+J40</f>
        <v>0</v>
      </c>
    </row>
    <row r="41" spans="1:11" x14ac:dyDescent="0.25">
      <c r="A41" s="57" t="s">
        <v>40</v>
      </c>
      <c r="B41" s="62" t="s">
        <v>34</v>
      </c>
      <c r="C41" s="61" t="s">
        <v>23</v>
      </c>
      <c r="D41" s="20" t="s">
        <v>20</v>
      </c>
      <c r="E41" s="21">
        <f t="shared" ref="E41:J41" si="5">E42+E43+E44+E45</f>
        <v>31000</v>
      </c>
      <c r="F41" s="21">
        <f t="shared" si="5"/>
        <v>31000</v>
      </c>
      <c r="G41" s="21">
        <f t="shared" si="5"/>
        <v>3000</v>
      </c>
      <c r="H41" s="21">
        <f t="shared" si="5"/>
        <v>3081.0000000000005</v>
      </c>
      <c r="I41" s="21">
        <f t="shared" si="5"/>
        <v>3170.3490000000011</v>
      </c>
      <c r="J41" s="21">
        <f t="shared" si="5"/>
        <v>3240.0966780000012</v>
      </c>
      <c r="K41" s="21">
        <f>K42+K43+K44+K45</f>
        <v>74491.445678000004</v>
      </c>
    </row>
    <row r="42" spans="1:11" x14ac:dyDescent="0.25">
      <c r="A42" s="57"/>
      <c r="B42" s="62"/>
      <c r="C42" s="61"/>
      <c r="D42" s="20" t="s">
        <v>24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f>SUM(E42:J42)</f>
        <v>0</v>
      </c>
    </row>
    <row r="43" spans="1:11" x14ac:dyDescent="0.25">
      <c r="A43" s="57"/>
      <c r="B43" s="62"/>
      <c r="C43" s="61"/>
      <c r="D43" s="20" t="s">
        <v>25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f>SUM(E43:J43)</f>
        <v>0</v>
      </c>
    </row>
    <row r="44" spans="1:11" x14ac:dyDescent="0.25">
      <c r="A44" s="57"/>
      <c r="B44" s="62"/>
      <c r="C44" s="61"/>
      <c r="D44" s="20" t="s">
        <v>26</v>
      </c>
      <c r="E44" s="21">
        <v>31000</v>
      </c>
      <c r="F44" s="21">
        <v>31000</v>
      </c>
      <c r="G44" s="21">
        <v>3000</v>
      </c>
      <c r="H44" s="21">
        <f>G44*102.7%</f>
        <v>3081.0000000000005</v>
      </c>
      <c r="I44" s="21">
        <f>H44*102.9%</f>
        <v>3170.3490000000011</v>
      </c>
      <c r="J44" s="21">
        <f>I44*102.2%</f>
        <v>3240.0966780000012</v>
      </c>
      <c r="K44" s="21">
        <f>SUM(E44:J44)</f>
        <v>74491.445678000004</v>
      </c>
    </row>
    <row r="45" spans="1:11" x14ac:dyDescent="0.25">
      <c r="A45" s="57"/>
      <c r="B45" s="62"/>
      <c r="C45" s="61"/>
      <c r="D45" s="20" t="s">
        <v>27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f>SUM(E45:J45)</f>
        <v>0</v>
      </c>
    </row>
    <row r="46" spans="1:11" x14ac:dyDescent="0.25">
      <c r="A46" s="57" t="s">
        <v>41</v>
      </c>
      <c r="B46" s="62" t="s">
        <v>35</v>
      </c>
      <c r="C46" s="61" t="s">
        <v>23</v>
      </c>
      <c r="D46" s="20" t="s">
        <v>20</v>
      </c>
      <c r="E46" s="21">
        <f t="shared" ref="E46:J46" si="6">E47+E48+E49+E50</f>
        <v>1800</v>
      </c>
      <c r="F46" s="21">
        <f t="shared" si="6"/>
        <v>1800</v>
      </c>
      <c r="G46" s="21">
        <f t="shared" si="6"/>
        <v>1800</v>
      </c>
      <c r="H46" s="21">
        <f t="shared" si="6"/>
        <v>1800</v>
      </c>
      <c r="I46" s="21">
        <f t="shared" si="6"/>
        <v>1800</v>
      </c>
      <c r="J46" s="21">
        <f t="shared" si="6"/>
        <v>1800</v>
      </c>
      <c r="K46" s="21">
        <f>K47+K48+K49+K50</f>
        <v>10800</v>
      </c>
    </row>
    <row r="47" spans="1:11" x14ac:dyDescent="0.25">
      <c r="A47" s="57"/>
      <c r="B47" s="62"/>
      <c r="C47" s="61"/>
      <c r="D47" s="20" t="s">
        <v>24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f>SUM(E47:J47)</f>
        <v>0</v>
      </c>
    </row>
    <row r="48" spans="1:11" x14ac:dyDescent="0.25">
      <c r="A48" s="57"/>
      <c r="B48" s="62"/>
      <c r="C48" s="61"/>
      <c r="D48" s="20" t="s">
        <v>25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f>SUM(E48:J48)</f>
        <v>0</v>
      </c>
    </row>
    <row r="49" spans="1:11" x14ac:dyDescent="0.25">
      <c r="A49" s="57"/>
      <c r="B49" s="62"/>
      <c r="C49" s="61"/>
      <c r="D49" s="20" t="s">
        <v>26</v>
      </c>
      <c r="E49" s="21">
        <v>1800</v>
      </c>
      <c r="F49" s="21">
        <v>1800</v>
      </c>
      <c r="G49" s="21">
        <v>1800</v>
      </c>
      <c r="H49" s="21">
        <v>1800</v>
      </c>
      <c r="I49" s="21">
        <v>1800</v>
      </c>
      <c r="J49" s="21">
        <v>1800</v>
      </c>
      <c r="K49" s="21">
        <f>SUM(E49:J49)</f>
        <v>10800</v>
      </c>
    </row>
    <row r="50" spans="1:11" x14ac:dyDescent="0.25">
      <c r="A50" s="57"/>
      <c r="B50" s="62"/>
      <c r="C50" s="61"/>
      <c r="D50" s="20" t="s">
        <v>27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f>SUM(E50:J50)</f>
        <v>0</v>
      </c>
    </row>
    <row r="51" spans="1:11" x14ac:dyDescent="0.25">
      <c r="A51" s="57" t="s">
        <v>42</v>
      </c>
      <c r="B51" s="58" t="s">
        <v>36</v>
      </c>
      <c r="C51" s="61" t="s">
        <v>23</v>
      </c>
      <c r="D51" s="20" t="s">
        <v>20</v>
      </c>
      <c r="E51" s="21">
        <f t="shared" ref="E51:J51" si="7">E52+E53+E54+E55</f>
        <v>61607.100000000006</v>
      </c>
      <c r="F51" s="21">
        <f t="shared" si="7"/>
        <v>62166</v>
      </c>
      <c r="G51" s="21">
        <f t="shared" si="7"/>
        <v>67180.774900000004</v>
      </c>
      <c r="H51" s="21">
        <f t="shared" si="7"/>
        <v>69180.29312110001</v>
      </c>
      <c r="I51" s="21">
        <f t="shared" si="7"/>
        <v>71347.252582822926</v>
      </c>
      <c r="J51" s="21">
        <f t="shared" si="7"/>
        <v>73200.791236432022</v>
      </c>
      <c r="K51" s="21">
        <f>K52+K53+K54+K55</f>
        <v>404682.21184035495</v>
      </c>
    </row>
    <row r="52" spans="1:11" x14ac:dyDescent="0.25">
      <c r="A52" s="57"/>
      <c r="B52" s="59"/>
      <c r="C52" s="61"/>
      <c r="D52" s="20" t="s">
        <v>24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f t="shared" ref="K52:K60" si="8">SUM(E52:J52)</f>
        <v>0</v>
      </c>
    </row>
    <row r="53" spans="1:11" x14ac:dyDescent="0.25">
      <c r="A53" s="57"/>
      <c r="B53" s="59"/>
      <c r="C53" s="61"/>
      <c r="D53" s="20" t="s">
        <v>25</v>
      </c>
      <c r="E53" s="21">
        <v>2941.4</v>
      </c>
      <c r="F53" s="21">
        <v>2941.4</v>
      </c>
      <c r="G53" s="21">
        <v>0</v>
      </c>
      <c r="H53" s="21">
        <v>0</v>
      </c>
      <c r="I53" s="21">
        <v>0</v>
      </c>
      <c r="J53" s="21">
        <f>I53</f>
        <v>0</v>
      </c>
      <c r="K53" s="21">
        <f t="shared" si="8"/>
        <v>5882.8</v>
      </c>
    </row>
    <row r="54" spans="1:11" x14ac:dyDescent="0.25">
      <c r="A54" s="57"/>
      <c r="B54" s="59"/>
      <c r="C54" s="61"/>
      <c r="D54" s="20" t="s">
        <v>26</v>
      </c>
      <c r="E54" s="21">
        <v>44335.5</v>
      </c>
      <c r="F54" s="21">
        <v>44335.5</v>
      </c>
      <c r="G54" s="21">
        <v>51711</v>
      </c>
      <c r="H54" s="21">
        <f>G54*102.7%</f>
        <v>53107.197000000007</v>
      </c>
      <c r="I54" s="21">
        <f>H54*102.9%</f>
        <v>54647.305713000016</v>
      </c>
      <c r="J54" s="21">
        <f>I54*102.2%</f>
        <v>55849.546438686019</v>
      </c>
      <c r="K54" s="21">
        <f t="shared" si="8"/>
        <v>303986.04915168602</v>
      </c>
    </row>
    <row r="55" spans="1:11" x14ac:dyDescent="0.25">
      <c r="A55" s="57"/>
      <c r="B55" s="60"/>
      <c r="C55" s="61"/>
      <c r="D55" s="20" t="s">
        <v>27</v>
      </c>
      <c r="E55" s="21">
        <v>14330.2</v>
      </c>
      <c r="F55" s="21">
        <v>14889.1</v>
      </c>
      <c r="G55" s="21">
        <f>F55*103.9%</f>
        <v>15469.774900000002</v>
      </c>
      <c r="H55" s="21">
        <f>G55*103.9%</f>
        <v>16073.096121100005</v>
      </c>
      <c r="I55" s="21">
        <f>H55*103.9%</f>
        <v>16699.946869822907</v>
      </c>
      <c r="J55" s="21">
        <f>I55*103.9%</f>
        <v>17351.244797746003</v>
      </c>
      <c r="K55" s="21">
        <f t="shared" si="8"/>
        <v>94813.362688668916</v>
      </c>
    </row>
    <row r="56" spans="1:11" x14ac:dyDescent="0.25">
      <c r="A56" s="61"/>
      <c r="B56" s="61"/>
      <c r="C56" s="61" t="s">
        <v>37</v>
      </c>
      <c r="D56" s="19" t="s">
        <v>20</v>
      </c>
      <c r="E56" s="21">
        <f t="shared" ref="E56:J60" si="9">E16+E21+E26+E31+E36+E41+E46+E51</f>
        <v>210629.2</v>
      </c>
      <c r="F56" s="21">
        <f t="shared" si="9"/>
        <v>213283.3</v>
      </c>
      <c r="G56" s="21">
        <f t="shared" si="9"/>
        <v>190024.58920000002</v>
      </c>
      <c r="H56" s="21">
        <f t="shared" si="9"/>
        <v>195333.28147600003</v>
      </c>
      <c r="I56" s="21">
        <f t="shared" si="9"/>
        <v>200984.27502232866</v>
      </c>
      <c r="J56" s="21">
        <f t="shared" si="9"/>
        <v>206117.2175448357</v>
      </c>
      <c r="K56" s="21">
        <f t="shared" si="8"/>
        <v>1216371.8632431645</v>
      </c>
    </row>
    <row r="57" spans="1:11" x14ac:dyDescent="0.25">
      <c r="A57" s="61"/>
      <c r="B57" s="61"/>
      <c r="C57" s="61"/>
      <c r="D57" s="19" t="s">
        <v>24</v>
      </c>
      <c r="E57" s="21">
        <f t="shared" si="9"/>
        <v>0</v>
      </c>
      <c r="F57" s="21">
        <f t="shared" si="9"/>
        <v>0</v>
      </c>
      <c r="G57" s="21">
        <f t="shared" si="9"/>
        <v>0</v>
      </c>
      <c r="H57" s="21">
        <f t="shared" si="9"/>
        <v>0</v>
      </c>
      <c r="I57" s="21">
        <f t="shared" si="9"/>
        <v>0</v>
      </c>
      <c r="J57" s="21">
        <f t="shared" si="9"/>
        <v>0</v>
      </c>
      <c r="K57" s="21">
        <f t="shared" si="8"/>
        <v>0</v>
      </c>
    </row>
    <row r="58" spans="1:11" x14ac:dyDescent="0.25">
      <c r="A58" s="61"/>
      <c r="B58" s="61"/>
      <c r="C58" s="61"/>
      <c r="D58" s="19" t="s">
        <v>25</v>
      </c>
      <c r="E58" s="21">
        <f t="shared" si="9"/>
        <v>4782.6000000000004</v>
      </c>
      <c r="F58" s="21">
        <f t="shared" si="9"/>
        <v>4782.6000000000004</v>
      </c>
      <c r="G58" s="21">
        <f t="shared" si="9"/>
        <v>0</v>
      </c>
      <c r="H58" s="21">
        <f t="shared" si="9"/>
        <v>0</v>
      </c>
      <c r="I58" s="21">
        <f t="shared" si="9"/>
        <v>0</v>
      </c>
      <c r="J58" s="21">
        <f t="shared" si="9"/>
        <v>0</v>
      </c>
      <c r="K58" s="21">
        <f t="shared" si="8"/>
        <v>9565.2000000000007</v>
      </c>
    </row>
    <row r="59" spans="1:11" x14ac:dyDescent="0.25">
      <c r="A59" s="61"/>
      <c r="B59" s="61"/>
      <c r="C59" s="61"/>
      <c r="D59" s="19" t="s">
        <v>26</v>
      </c>
      <c r="E59" s="21">
        <f t="shared" si="9"/>
        <v>115629</v>
      </c>
      <c r="F59" s="21">
        <f t="shared" si="9"/>
        <v>115629</v>
      </c>
      <c r="G59" s="21">
        <f t="shared" si="9"/>
        <v>94427.097500000003</v>
      </c>
      <c r="H59" s="21">
        <f t="shared" si="9"/>
        <v>96928.029132500014</v>
      </c>
      <c r="I59" s="21">
        <f t="shared" si="9"/>
        <v>99686.741977342521</v>
      </c>
      <c r="J59" s="21">
        <f t="shared" si="9"/>
        <v>101840.25030084407</v>
      </c>
      <c r="K59" s="21">
        <f t="shared" si="8"/>
        <v>624140.11891068658</v>
      </c>
    </row>
    <row r="60" spans="1:11" x14ac:dyDescent="0.25">
      <c r="A60" s="61"/>
      <c r="B60" s="61"/>
      <c r="C60" s="61"/>
      <c r="D60" s="19" t="s">
        <v>27</v>
      </c>
      <c r="E60" s="21">
        <f t="shared" si="9"/>
        <v>90217.599999999991</v>
      </c>
      <c r="F60" s="21">
        <f t="shared" si="9"/>
        <v>92871.700000000012</v>
      </c>
      <c r="G60" s="21">
        <f t="shared" si="9"/>
        <v>95597.491700000013</v>
      </c>
      <c r="H60" s="21">
        <f t="shared" si="9"/>
        <v>98405.252343500018</v>
      </c>
      <c r="I60" s="21">
        <f t="shared" si="9"/>
        <v>101297.53304498614</v>
      </c>
      <c r="J60" s="21">
        <f t="shared" si="9"/>
        <v>104276.96724399168</v>
      </c>
      <c r="K60" s="21">
        <f t="shared" si="8"/>
        <v>582666.54433247785</v>
      </c>
    </row>
    <row r="63" spans="1:11" x14ac:dyDescent="0.25">
      <c r="G63" s="23">
        <f>F5-G59</f>
        <v>24178.328500000003</v>
      </c>
      <c r="H63" s="23">
        <f>G5-H59</f>
        <v>24879.743369499978</v>
      </c>
      <c r="I63" s="23">
        <f>H5-I59</f>
        <v>25653.455927215458</v>
      </c>
      <c r="J63" s="23">
        <f>I5-J59</f>
        <v>26257.431957614186</v>
      </c>
    </row>
  </sheetData>
  <mergeCells count="34">
    <mergeCell ref="A1:I1"/>
    <mergeCell ref="A9:K9"/>
    <mergeCell ref="A10:K10"/>
    <mergeCell ref="A12:A14"/>
    <mergeCell ref="B12:B14"/>
    <mergeCell ref="C12:C14"/>
    <mergeCell ref="D12:D14"/>
    <mergeCell ref="E12:K13"/>
    <mergeCell ref="A16:A20"/>
    <mergeCell ref="B16:B20"/>
    <mergeCell ref="C16:C20"/>
    <mergeCell ref="A21:A25"/>
    <mergeCell ref="B21:B25"/>
    <mergeCell ref="C21:C25"/>
    <mergeCell ref="A26:A30"/>
    <mergeCell ref="B26:B30"/>
    <mergeCell ref="C26:C30"/>
    <mergeCell ref="A31:A35"/>
    <mergeCell ref="B31:B35"/>
    <mergeCell ref="C31:C35"/>
    <mergeCell ref="A36:A40"/>
    <mergeCell ref="B36:B40"/>
    <mergeCell ref="C36:C40"/>
    <mergeCell ref="A41:A45"/>
    <mergeCell ref="B41:B45"/>
    <mergeCell ref="C41:C45"/>
    <mergeCell ref="A56:B60"/>
    <mergeCell ref="C56:C60"/>
    <mergeCell ref="A46:A50"/>
    <mergeCell ref="B46:B50"/>
    <mergeCell ref="C46:C50"/>
    <mergeCell ref="A51:A55"/>
    <mergeCell ref="B51:B55"/>
    <mergeCell ref="C51:C55"/>
  </mergeCells>
  <pageMargins left="0.51181102362204722" right="0.31496062992125984" top="0.55118110236220474" bottom="0.19685039370078741" header="0" footer="0"/>
  <pageSetup paperSize="8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4" workbookViewId="0">
      <pane xSplit="4" ySplit="12" topLeftCell="E16" activePane="bottomRight" state="frozen"/>
      <selection activeCell="A4" sqref="A4"/>
      <selection pane="topRight" activeCell="E4" sqref="E4"/>
      <selection pane="bottomLeft" activeCell="A16" sqref="A16"/>
      <selection pane="bottomRight" activeCell="E58" sqref="E58:E59"/>
    </sheetView>
  </sheetViews>
  <sheetFormatPr defaultRowHeight="15" x14ac:dyDescent="0.25"/>
  <cols>
    <col min="1" max="1" width="7.140625" customWidth="1"/>
    <col min="2" max="2" width="56" customWidth="1"/>
    <col min="3" max="3" width="14.7109375" customWidth="1"/>
    <col min="4" max="5" width="13.7109375" customWidth="1"/>
    <col min="6" max="6" width="14.140625" customWidth="1"/>
    <col min="7" max="7" width="14.85546875" customWidth="1"/>
    <col min="8" max="8" width="12.85546875" customWidth="1"/>
    <col min="9" max="9" width="13.7109375" customWidth="1"/>
    <col min="10" max="10" width="14.140625" customWidth="1"/>
    <col min="11" max="11" width="11.5703125" bestFit="1" customWidth="1"/>
    <col min="12" max="12" width="13.28515625" customWidth="1"/>
  </cols>
  <sheetData>
    <row r="1" spans="1:12" ht="51" customHeight="1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</row>
    <row r="2" spans="1:12" ht="21" customHeight="1" x14ac:dyDescent="0.25">
      <c r="A2" t="s">
        <v>13</v>
      </c>
      <c r="B2" s="7"/>
      <c r="C2" s="7"/>
      <c r="D2" s="7"/>
      <c r="E2" s="7"/>
      <c r="F2" s="7"/>
      <c r="G2" s="7"/>
      <c r="H2" s="7"/>
      <c r="I2" s="7"/>
      <c r="J2" s="7"/>
    </row>
    <row r="3" spans="1:12" ht="94.5" customHeight="1" x14ac:dyDescent="0.25">
      <c r="A3" s="9" t="s">
        <v>7</v>
      </c>
      <c r="B3" s="8" t="s">
        <v>9</v>
      </c>
      <c r="C3" s="8" t="s">
        <v>2</v>
      </c>
      <c r="D3" s="8" t="s">
        <v>1</v>
      </c>
      <c r="E3" s="8"/>
      <c r="F3" s="8" t="s">
        <v>0</v>
      </c>
      <c r="G3" s="8" t="s">
        <v>3</v>
      </c>
      <c r="H3" s="8" t="s">
        <v>4</v>
      </c>
      <c r="I3" s="8" t="s">
        <v>5</v>
      </c>
      <c r="J3" s="8" t="s">
        <v>6</v>
      </c>
    </row>
    <row r="4" spans="1:12" ht="18" customHeight="1" x14ac:dyDescent="0.25">
      <c r="A4" s="9">
        <v>1</v>
      </c>
      <c r="B4" s="1">
        <v>2</v>
      </c>
      <c r="C4" s="1">
        <v>5</v>
      </c>
      <c r="D4" s="1">
        <v>6</v>
      </c>
      <c r="E4" s="1"/>
      <c r="F4" s="1">
        <v>7</v>
      </c>
      <c r="G4" s="6">
        <v>8</v>
      </c>
      <c r="H4" s="6">
        <v>9</v>
      </c>
      <c r="I4" s="6">
        <v>10</v>
      </c>
      <c r="J4" s="6">
        <v>11</v>
      </c>
    </row>
    <row r="5" spans="1:12" ht="31.5" x14ac:dyDescent="0.25">
      <c r="A5" s="10" t="s">
        <v>8</v>
      </c>
      <c r="B5" s="2" t="s">
        <v>11</v>
      </c>
      <c r="C5" s="3">
        <v>115211.6</v>
      </c>
      <c r="D5" s="3">
        <v>120411.6</v>
      </c>
      <c r="E5" s="3"/>
      <c r="F5" s="3">
        <v>120411.6</v>
      </c>
      <c r="G5" s="3">
        <f>F5*G6</f>
        <v>118605.42600000001</v>
      </c>
      <c r="H5" s="3">
        <f>G5*H6</f>
        <v>121807.77250199999</v>
      </c>
      <c r="I5" s="3">
        <f>H5*I6</f>
        <v>125340.19790455798</v>
      </c>
      <c r="J5" s="3">
        <f>I5*J6</f>
        <v>128097.68225845826</v>
      </c>
    </row>
    <row r="6" spans="1:12" s="12" customFormat="1" ht="15.75" x14ac:dyDescent="0.25">
      <c r="A6" s="11"/>
      <c r="B6" s="14" t="s">
        <v>10</v>
      </c>
      <c r="C6" s="15"/>
      <c r="D6" s="15"/>
      <c r="E6" s="15"/>
      <c r="F6" s="15"/>
      <c r="G6" s="16">
        <v>0.98499999999999999</v>
      </c>
      <c r="H6" s="16">
        <v>1.0269999999999999</v>
      </c>
      <c r="I6" s="16">
        <v>1.0289999999999999</v>
      </c>
      <c r="J6" s="16">
        <v>1.022</v>
      </c>
    </row>
    <row r="7" spans="1:12" x14ac:dyDescent="0.25">
      <c r="B7" s="4"/>
      <c r="C7" s="4"/>
      <c r="D7" s="4">
        <f>D5+30000</f>
        <v>150411.6</v>
      </c>
      <c r="E7" s="4"/>
      <c r="F7" s="4"/>
      <c r="G7" s="4"/>
      <c r="H7" s="4"/>
      <c r="I7" s="4"/>
      <c r="J7" s="4"/>
      <c r="K7" s="23">
        <f>D7+F5+G5+H5+I5+J5</f>
        <v>764674.27866501629</v>
      </c>
    </row>
    <row r="8" spans="1:12" x14ac:dyDescent="0.25">
      <c r="B8" s="5"/>
      <c r="C8" s="13"/>
      <c r="D8" s="13"/>
      <c r="E8" s="13"/>
      <c r="F8" s="13"/>
      <c r="G8" s="13"/>
      <c r="H8" s="13"/>
      <c r="I8" s="13"/>
      <c r="J8" s="13"/>
      <c r="K8">
        <v>582000</v>
      </c>
      <c r="L8" s="23">
        <f>K7+K8</f>
        <v>1346674.2786650164</v>
      </c>
    </row>
    <row r="9" spans="1:12" x14ac:dyDescent="0.25">
      <c r="A9" s="73" t="s">
        <v>14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</row>
    <row r="10" spans="1:12" x14ac:dyDescent="0.25">
      <c r="A10" s="73" t="s">
        <v>15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x14ac:dyDescent="0.25">
      <c r="A11" s="17" t="s">
        <v>44</v>
      </c>
      <c r="B11" s="18"/>
      <c r="C11" s="18"/>
      <c r="D11" s="18"/>
      <c r="E11" s="18"/>
      <c r="F11" s="18"/>
      <c r="G11" s="18"/>
      <c r="H11" s="25">
        <v>98.5</v>
      </c>
      <c r="I11" s="22">
        <v>102.7</v>
      </c>
      <c r="J11" s="22">
        <v>102.9</v>
      </c>
      <c r="K11" s="22">
        <v>102.2</v>
      </c>
      <c r="L11" s="18"/>
    </row>
    <row r="12" spans="1:12" ht="15" customHeight="1" x14ac:dyDescent="0.25">
      <c r="A12" s="61" t="s">
        <v>7</v>
      </c>
      <c r="B12" s="61" t="s">
        <v>16</v>
      </c>
      <c r="C12" s="61" t="s">
        <v>17</v>
      </c>
      <c r="D12" s="61" t="s">
        <v>18</v>
      </c>
      <c r="E12" s="74" t="s">
        <v>19</v>
      </c>
      <c r="F12" s="75"/>
      <c r="G12" s="75"/>
      <c r="H12" s="75"/>
      <c r="I12" s="75"/>
      <c r="J12" s="75"/>
      <c r="K12" s="75"/>
      <c r="L12" s="76"/>
    </row>
    <row r="13" spans="1:12" ht="14.25" customHeight="1" x14ac:dyDescent="0.25">
      <c r="A13" s="61"/>
      <c r="B13" s="61"/>
      <c r="C13" s="61"/>
      <c r="D13" s="61"/>
      <c r="E13" s="77"/>
      <c r="F13" s="78"/>
      <c r="G13" s="78"/>
      <c r="H13" s="78"/>
      <c r="I13" s="78"/>
      <c r="J13" s="78"/>
      <c r="K13" s="78"/>
      <c r="L13" s="79"/>
    </row>
    <row r="14" spans="1:12" ht="46.5" customHeight="1" x14ac:dyDescent="0.25">
      <c r="A14" s="61"/>
      <c r="B14" s="61"/>
      <c r="C14" s="61"/>
      <c r="D14" s="61"/>
      <c r="E14" s="19" t="s">
        <v>45</v>
      </c>
      <c r="F14" s="19" t="s">
        <v>46</v>
      </c>
      <c r="G14" s="19" t="s">
        <v>0</v>
      </c>
      <c r="H14" s="20" t="s">
        <v>3</v>
      </c>
      <c r="I14" s="19" t="s">
        <v>4</v>
      </c>
      <c r="J14" s="19" t="s">
        <v>5</v>
      </c>
      <c r="K14" s="19" t="s">
        <v>6</v>
      </c>
      <c r="L14" s="19" t="s">
        <v>20</v>
      </c>
    </row>
    <row r="15" spans="1:12" ht="12" customHeight="1" x14ac:dyDescent="0.25">
      <c r="A15" s="24">
        <v>1</v>
      </c>
      <c r="B15" s="24">
        <v>2</v>
      </c>
      <c r="C15" s="24">
        <v>3</v>
      </c>
      <c r="D15" s="24">
        <v>4</v>
      </c>
      <c r="E15" s="24"/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</row>
    <row r="16" spans="1:12" x14ac:dyDescent="0.25">
      <c r="A16" s="64" t="s">
        <v>21</v>
      </c>
      <c r="B16" s="65" t="s">
        <v>22</v>
      </c>
      <c r="C16" s="61" t="s">
        <v>23</v>
      </c>
      <c r="D16" s="19" t="s">
        <v>20</v>
      </c>
      <c r="E16" s="21">
        <f>SUM(E17:E20)</f>
        <v>9756.6</v>
      </c>
      <c r="F16" s="21">
        <f t="shared" ref="F16:K16" si="0">SUM(F17:F20)</f>
        <v>15530.74</v>
      </c>
      <c r="G16" s="21">
        <f t="shared" si="0"/>
        <v>15620.94</v>
      </c>
      <c r="H16" s="21">
        <f t="shared" si="0"/>
        <v>14210.592199999999</v>
      </c>
      <c r="I16" s="21">
        <f t="shared" si="0"/>
        <v>14631.619258199999</v>
      </c>
      <c r="J16" s="21">
        <f t="shared" si="0"/>
        <v>15090.0146096014</v>
      </c>
      <c r="K16" s="21">
        <f t="shared" si="0"/>
        <v>15475.310576725959</v>
      </c>
      <c r="L16" s="21">
        <f>L17+L18+L19+L20</f>
        <v>90559.216644527347</v>
      </c>
    </row>
    <row r="17" spans="1:12" x14ac:dyDescent="0.25">
      <c r="A17" s="64"/>
      <c r="B17" s="65"/>
      <c r="C17" s="61"/>
      <c r="D17" s="19" t="s">
        <v>24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f>SUM(F17:K17)</f>
        <v>0</v>
      </c>
    </row>
    <row r="18" spans="1:12" x14ac:dyDescent="0.25">
      <c r="A18" s="64"/>
      <c r="B18" s="65"/>
      <c r="C18" s="61"/>
      <c r="D18" s="19" t="s">
        <v>25</v>
      </c>
      <c r="E18" s="21">
        <v>1325.7</v>
      </c>
      <c r="F18" s="21">
        <v>1325.7</v>
      </c>
      <c r="G18" s="21">
        <v>1325.7</v>
      </c>
      <c r="H18" s="21">
        <v>0</v>
      </c>
      <c r="I18" s="21">
        <v>0</v>
      </c>
      <c r="J18" s="21">
        <v>0</v>
      </c>
      <c r="K18" s="21">
        <v>0</v>
      </c>
      <c r="L18" s="21">
        <f>SUM(F18:K18)</f>
        <v>2651.4</v>
      </c>
    </row>
    <row r="19" spans="1:12" x14ac:dyDescent="0.25">
      <c r="A19" s="64"/>
      <c r="B19" s="65"/>
      <c r="C19" s="61"/>
      <c r="D19" s="19" t="s">
        <v>26</v>
      </c>
      <c r="E19" s="21">
        <v>6283.5</v>
      </c>
      <c r="F19" s="21">
        <v>12057.64</v>
      </c>
      <c r="G19" s="21">
        <v>12057.64</v>
      </c>
      <c r="H19" s="21">
        <f>G19*98.5%</f>
        <v>11876.775399999999</v>
      </c>
      <c r="I19" s="21">
        <f>H19*102.7%</f>
        <v>12197.4483358</v>
      </c>
      <c r="J19" s="21">
        <f>I19*102.9%</f>
        <v>12551.174337538201</v>
      </c>
      <c r="K19" s="21">
        <f>J19*102.2%</f>
        <v>12827.300172964042</v>
      </c>
      <c r="L19" s="21">
        <f>SUM(F19:K19)</f>
        <v>73567.978246302242</v>
      </c>
    </row>
    <row r="20" spans="1:12" x14ac:dyDescent="0.25">
      <c r="A20" s="64"/>
      <c r="B20" s="65"/>
      <c r="C20" s="61"/>
      <c r="D20" s="19" t="s">
        <v>27</v>
      </c>
      <c r="E20" s="21">
        <v>2147.4</v>
      </c>
      <c r="F20" s="21">
        <v>2147.4</v>
      </c>
      <c r="G20" s="21">
        <v>2237.6</v>
      </c>
      <c r="H20" s="21">
        <f>G20*104.3%</f>
        <v>2333.8167999999996</v>
      </c>
      <c r="I20" s="21">
        <f>H20*104.3%</f>
        <v>2434.1709223999992</v>
      </c>
      <c r="J20" s="21">
        <f>I20*104.3%</f>
        <v>2538.8402720631989</v>
      </c>
      <c r="K20" s="21">
        <f>J20*104.3%</f>
        <v>2648.0104037619162</v>
      </c>
      <c r="L20" s="21">
        <f>SUM(F20:K20)</f>
        <v>14339.838398225114</v>
      </c>
    </row>
    <row r="21" spans="1:12" x14ac:dyDescent="0.25">
      <c r="A21" s="66" t="s">
        <v>28</v>
      </c>
      <c r="B21" s="68" t="s">
        <v>29</v>
      </c>
      <c r="C21" s="70" t="s">
        <v>23</v>
      </c>
      <c r="D21" s="19" t="s">
        <v>20</v>
      </c>
      <c r="E21" s="21">
        <f>SUM(E22:E25)</f>
        <v>95876.34</v>
      </c>
      <c r="F21" s="21">
        <f t="shared" ref="F21:K21" si="1">SUM(F22:F25)</f>
        <v>116704.45999999999</v>
      </c>
      <c r="G21" s="21">
        <f t="shared" si="1"/>
        <v>118704.45999999999</v>
      </c>
      <c r="H21" s="21">
        <f t="shared" si="1"/>
        <v>120103.29310000001</v>
      </c>
      <c r="I21" s="21">
        <f t="shared" si="1"/>
        <v>123346.08201370001</v>
      </c>
      <c r="J21" s="21">
        <f t="shared" si="1"/>
        <v>126763.43242149735</v>
      </c>
      <c r="K21" s="21">
        <f t="shared" si="1"/>
        <v>129962.22166428581</v>
      </c>
      <c r="L21" s="21">
        <f>L22+L23+L24+L25</f>
        <v>735583.94919948326</v>
      </c>
    </row>
    <row r="22" spans="1:12" x14ac:dyDescent="0.25">
      <c r="A22" s="67"/>
      <c r="B22" s="69"/>
      <c r="C22" s="71"/>
      <c r="D22" s="19" t="s">
        <v>24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f>SUM(F22:K22)</f>
        <v>0</v>
      </c>
    </row>
    <row r="23" spans="1:12" x14ac:dyDescent="0.25">
      <c r="A23" s="67"/>
      <c r="B23" s="69"/>
      <c r="C23" s="71"/>
      <c r="D23" s="19" t="s">
        <v>25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f>SUM(F23:K23)</f>
        <v>0</v>
      </c>
    </row>
    <row r="24" spans="1:12" x14ac:dyDescent="0.25">
      <c r="A24" s="67"/>
      <c r="B24" s="69"/>
      <c r="C24" s="71"/>
      <c r="D24" s="19" t="s">
        <v>26</v>
      </c>
      <c r="E24" s="21">
        <v>22176.34</v>
      </c>
      <c r="F24" s="21">
        <v>43004.46</v>
      </c>
      <c r="G24" s="21">
        <v>43004.46</v>
      </c>
      <c r="H24" s="21">
        <f>G24*98.5%</f>
        <v>42359.393100000001</v>
      </c>
      <c r="I24" s="21">
        <f>H24*102.7%</f>
        <v>43503.096713700004</v>
      </c>
      <c r="J24" s="21">
        <f>I24*102.9%</f>
        <v>44764.686518397313</v>
      </c>
      <c r="K24" s="21">
        <f>J24*102.2%</f>
        <v>45749.509621802055</v>
      </c>
      <c r="L24" s="21">
        <f>SUM(F24:K24)</f>
        <v>262385.60595389939</v>
      </c>
    </row>
    <row r="25" spans="1:12" x14ac:dyDescent="0.25">
      <c r="A25" s="67"/>
      <c r="B25" s="69"/>
      <c r="C25" s="72"/>
      <c r="D25" s="19" t="s">
        <v>27</v>
      </c>
      <c r="E25" s="21">
        <v>73700</v>
      </c>
      <c r="F25" s="21">
        <v>73700</v>
      </c>
      <c r="G25" s="21">
        <v>75700</v>
      </c>
      <c r="H25" s="21">
        <f>G25*102.7%</f>
        <v>77743.900000000009</v>
      </c>
      <c r="I25" s="21">
        <f>H25*102.7%</f>
        <v>79842.985300000015</v>
      </c>
      <c r="J25" s="21">
        <f>I25*102.7%</f>
        <v>81998.745903100033</v>
      </c>
      <c r="K25" s="21">
        <f>J25*102.7%</f>
        <v>84212.712042483749</v>
      </c>
      <c r="L25" s="21">
        <f>SUM(F25:K25)</f>
        <v>473198.34324558382</v>
      </c>
    </row>
    <row r="26" spans="1:12" x14ac:dyDescent="0.25">
      <c r="A26" s="63" t="s">
        <v>30</v>
      </c>
      <c r="B26" s="62" t="s">
        <v>31</v>
      </c>
      <c r="C26" s="61" t="s">
        <v>23</v>
      </c>
      <c r="D26" s="20" t="s">
        <v>20</v>
      </c>
      <c r="E26" s="21">
        <f>E27+E28+E29+E30</f>
        <v>3290.27</v>
      </c>
      <c r="F26" s="21">
        <f t="shared" ref="F26:K26" si="2">F27+F28+F29+F30</f>
        <v>7396.0599999999995</v>
      </c>
      <c r="G26" s="21">
        <f t="shared" si="2"/>
        <v>3485.1</v>
      </c>
      <c r="H26" s="21">
        <f t="shared" si="2"/>
        <v>3112.0694999999996</v>
      </c>
      <c r="I26" s="21">
        <f t="shared" si="2"/>
        <v>3199.7453765</v>
      </c>
      <c r="J26" s="21">
        <f t="shared" si="2"/>
        <v>3295.9429924185006</v>
      </c>
      <c r="K26" s="21">
        <f t="shared" si="2"/>
        <v>3372.1337382517077</v>
      </c>
      <c r="L26" s="21">
        <f>L27+L28+L29+L30</f>
        <v>23861.051607170211</v>
      </c>
    </row>
    <row r="27" spans="1:12" x14ac:dyDescent="0.25">
      <c r="A27" s="63"/>
      <c r="B27" s="62"/>
      <c r="C27" s="61"/>
      <c r="D27" s="20" t="s">
        <v>24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f>SUM(F27:K27)</f>
        <v>0</v>
      </c>
    </row>
    <row r="28" spans="1:12" x14ac:dyDescent="0.25">
      <c r="A28" s="63"/>
      <c r="B28" s="62"/>
      <c r="C28" s="61"/>
      <c r="D28" s="20" t="s">
        <v>25</v>
      </c>
      <c r="E28" s="21">
        <v>331.4</v>
      </c>
      <c r="F28" s="21">
        <v>331.4</v>
      </c>
      <c r="G28" s="21">
        <v>331.4</v>
      </c>
      <c r="H28" s="21">
        <v>0</v>
      </c>
      <c r="I28" s="21">
        <v>0</v>
      </c>
      <c r="J28" s="21">
        <v>0</v>
      </c>
      <c r="K28" s="21">
        <f>J28</f>
        <v>0</v>
      </c>
      <c r="L28" s="21">
        <f>SUM(F28:K28)</f>
        <v>662.8</v>
      </c>
    </row>
    <row r="29" spans="1:12" x14ac:dyDescent="0.25">
      <c r="A29" s="63"/>
      <c r="B29" s="62"/>
      <c r="C29" s="61"/>
      <c r="D29" s="20" t="s">
        <v>26</v>
      </c>
      <c r="E29" s="21">
        <v>2918.87</v>
      </c>
      <c r="F29" s="21">
        <v>7024.66</v>
      </c>
      <c r="G29" s="21">
        <v>3108.7</v>
      </c>
      <c r="H29" s="21">
        <f>G29*98.5%</f>
        <v>3062.0694999999996</v>
      </c>
      <c r="I29" s="21">
        <f>H29*102.7%</f>
        <v>3144.7453765</v>
      </c>
      <c r="J29" s="21">
        <f>I29*102.9%</f>
        <v>3235.9429924185006</v>
      </c>
      <c r="K29" s="21">
        <f>J29*102.2%</f>
        <v>3307.1337382517077</v>
      </c>
      <c r="L29" s="21">
        <f>SUM(F29:K29)</f>
        <v>22883.251607170212</v>
      </c>
    </row>
    <row r="30" spans="1:12" x14ac:dyDescent="0.25">
      <c r="A30" s="63"/>
      <c r="B30" s="62"/>
      <c r="C30" s="61"/>
      <c r="D30" s="20" t="s">
        <v>27</v>
      </c>
      <c r="E30" s="21">
        <v>40</v>
      </c>
      <c r="F30" s="21">
        <v>40</v>
      </c>
      <c r="G30" s="21">
        <v>45</v>
      </c>
      <c r="H30" s="21">
        <v>50</v>
      </c>
      <c r="I30" s="21">
        <v>55</v>
      </c>
      <c r="J30" s="21">
        <v>60</v>
      </c>
      <c r="K30" s="21">
        <v>65</v>
      </c>
      <c r="L30" s="21">
        <f>SUM(F30:K30)</f>
        <v>315</v>
      </c>
    </row>
    <row r="31" spans="1:12" x14ac:dyDescent="0.25">
      <c r="A31" s="57" t="s">
        <v>38</v>
      </c>
      <c r="B31" s="62" t="s">
        <v>32</v>
      </c>
      <c r="C31" s="61" t="s">
        <v>23</v>
      </c>
      <c r="D31" s="20" t="s">
        <v>20</v>
      </c>
      <c r="E31" s="21">
        <f>E32+E33+E34+E35</f>
        <v>4060</v>
      </c>
      <c r="F31" s="21">
        <f t="shared" ref="F31:K31" si="3">F32+F33+F34+F35</f>
        <v>5800</v>
      </c>
      <c r="G31" s="21">
        <f t="shared" si="3"/>
        <v>5800</v>
      </c>
      <c r="H31" s="21">
        <f t="shared" si="3"/>
        <v>5713</v>
      </c>
      <c r="I31" s="21">
        <f t="shared" si="3"/>
        <v>5867.2510000000011</v>
      </c>
      <c r="J31" s="21">
        <f t="shared" si="3"/>
        <v>6037.4012790000015</v>
      </c>
      <c r="K31" s="21">
        <f t="shared" si="3"/>
        <v>6170.2241071380013</v>
      </c>
      <c r="L31" s="21">
        <f>L32+L33+L34+L35</f>
        <v>35387.876386137999</v>
      </c>
    </row>
    <row r="32" spans="1:12" x14ac:dyDescent="0.25">
      <c r="A32" s="57"/>
      <c r="B32" s="62"/>
      <c r="C32" s="61"/>
      <c r="D32" s="20" t="s">
        <v>24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f>SUM(F32:K32)</f>
        <v>0</v>
      </c>
    </row>
    <row r="33" spans="1:12" x14ac:dyDescent="0.25">
      <c r="A33" s="57"/>
      <c r="B33" s="62"/>
      <c r="C33" s="61"/>
      <c r="D33" s="20" t="s">
        <v>25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f>SUM(F33:K33)</f>
        <v>0</v>
      </c>
    </row>
    <row r="34" spans="1:12" x14ac:dyDescent="0.25">
      <c r="A34" s="57"/>
      <c r="B34" s="62"/>
      <c r="C34" s="61"/>
      <c r="D34" s="20" t="s">
        <v>26</v>
      </c>
      <c r="E34" s="21">
        <v>4060</v>
      </c>
      <c r="F34" s="21">
        <v>5800</v>
      </c>
      <c r="G34" s="21">
        <v>5800</v>
      </c>
      <c r="H34" s="21">
        <f>G34*98.5%</f>
        <v>5713</v>
      </c>
      <c r="I34" s="21">
        <f>H34*102.7%</f>
        <v>5867.2510000000011</v>
      </c>
      <c r="J34" s="21">
        <f>I34*102.9%</f>
        <v>6037.4012790000015</v>
      </c>
      <c r="K34" s="21">
        <f>J34*102.2%</f>
        <v>6170.2241071380013</v>
      </c>
      <c r="L34" s="21">
        <f>SUM(F34:K34)</f>
        <v>35387.876386137999</v>
      </c>
    </row>
    <row r="35" spans="1:12" x14ac:dyDescent="0.25">
      <c r="A35" s="57"/>
      <c r="B35" s="62"/>
      <c r="C35" s="61"/>
      <c r="D35" s="20" t="s">
        <v>27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SUM(F35:K35)</f>
        <v>0</v>
      </c>
    </row>
    <row r="36" spans="1:12" x14ac:dyDescent="0.25">
      <c r="A36" s="57" t="s">
        <v>39</v>
      </c>
      <c r="B36" s="62" t="s">
        <v>33</v>
      </c>
      <c r="C36" s="61" t="s">
        <v>23</v>
      </c>
      <c r="D36" s="20" t="s">
        <v>20</v>
      </c>
      <c r="E36" s="21">
        <f>E39+E40</f>
        <v>1400</v>
      </c>
      <c r="F36" s="21">
        <f t="shared" ref="F36:K36" si="4">F39+F40</f>
        <v>2000</v>
      </c>
      <c r="G36" s="21">
        <f t="shared" si="4"/>
        <v>2000</v>
      </c>
      <c r="H36" s="21">
        <f t="shared" si="4"/>
        <v>1970</v>
      </c>
      <c r="I36" s="21">
        <f t="shared" si="4"/>
        <v>2023.1900000000003</v>
      </c>
      <c r="J36" s="21">
        <f t="shared" si="4"/>
        <v>2081.8625100000004</v>
      </c>
      <c r="K36" s="21">
        <f t="shared" si="4"/>
        <v>2127.6634852200004</v>
      </c>
      <c r="L36" s="21">
        <f>SUM(F36:K36)</f>
        <v>12202.715995220002</v>
      </c>
    </row>
    <row r="37" spans="1:12" x14ac:dyDescent="0.25">
      <c r="A37" s="57"/>
      <c r="B37" s="62"/>
      <c r="C37" s="61"/>
      <c r="D37" s="20" t="s">
        <v>24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</row>
    <row r="38" spans="1:12" x14ac:dyDescent="0.25">
      <c r="A38" s="57"/>
      <c r="B38" s="62"/>
      <c r="C38" s="61"/>
      <c r="D38" s="20" t="s">
        <v>25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</row>
    <row r="39" spans="1:12" x14ac:dyDescent="0.25">
      <c r="A39" s="57"/>
      <c r="B39" s="62"/>
      <c r="C39" s="61"/>
      <c r="D39" s="20" t="s">
        <v>26</v>
      </c>
      <c r="E39" s="21">
        <v>1400</v>
      </c>
      <c r="F39" s="21">
        <v>2000</v>
      </c>
      <c r="G39" s="21">
        <v>2000</v>
      </c>
      <c r="H39" s="21">
        <f>G39*98.5%</f>
        <v>1970</v>
      </c>
      <c r="I39" s="21">
        <f>H39*102.7%</f>
        <v>2023.1900000000003</v>
      </c>
      <c r="J39" s="21">
        <f>I39*102.9%</f>
        <v>2081.8625100000004</v>
      </c>
      <c r="K39" s="21">
        <f>J39*102.2%</f>
        <v>2127.6634852200004</v>
      </c>
      <c r="L39" s="21">
        <f>SUM(F39:K39)</f>
        <v>12202.715995220002</v>
      </c>
    </row>
    <row r="40" spans="1:12" x14ac:dyDescent="0.25">
      <c r="A40" s="57"/>
      <c r="B40" s="62"/>
      <c r="C40" s="61"/>
      <c r="D40" s="20" t="s">
        <v>27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f>F40+G40+H40+I40+J40+K40</f>
        <v>0</v>
      </c>
    </row>
    <row r="41" spans="1:12" x14ac:dyDescent="0.25">
      <c r="A41" s="57" t="s">
        <v>40</v>
      </c>
      <c r="B41" s="62" t="s">
        <v>34</v>
      </c>
      <c r="C41" s="61" t="s">
        <v>23</v>
      </c>
      <c r="D41" s="20" t="s">
        <v>20</v>
      </c>
      <c r="E41" s="21">
        <f>E42+E43+E44+E45</f>
        <v>0</v>
      </c>
      <c r="F41" s="21">
        <f t="shared" ref="F41:K41" si="5">F42+F43+F44+F45</f>
        <v>31200</v>
      </c>
      <c r="G41" s="21">
        <f t="shared" si="5"/>
        <v>31000</v>
      </c>
      <c r="H41" s="21">
        <f t="shared" si="5"/>
        <v>3000</v>
      </c>
      <c r="I41" s="21">
        <f t="shared" si="5"/>
        <v>3081.0000000000005</v>
      </c>
      <c r="J41" s="21">
        <f t="shared" si="5"/>
        <v>3170.3490000000011</v>
      </c>
      <c r="K41" s="21">
        <f t="shared" si="5"/>
        <v>3240.0966780000012</v>
      </c>
      <c r="L41" s="21">
        <f>L42+L43+L44+L45</f>
        <v>74691.445678000004</v>
      </c>
    </row>
    <row r="42" spans="1:12" x14ac:dyDescent="0.25">
      <c r="A42" s="57"/>
      <c r="B42" s="62"/>
      <c r="C42" s="61"/>
      <c r="D42" s="20" t="s">
        <v>24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f>SUM(F42:K42)</f>
        <v>0</v>
      </c>
    </row>
    <row r="43" spans="1:12" x14ac:dyDescent="0.25">
      <c r="A43" s="57"/>
      <c r="B43" s="62"/>
      <c r="C43" s="61"/>
      <c r="D43" s="20" t="s">
        <v>25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f>SUM(F43:K43)</f>
        <v>0</v>
      </c>
    </row>
    <row r="44" spans="1:12" x14ac:dyDescent="0.25">
      <c r="A44" s="57"/>
      <c r="B44" s="62"/>
      <c r="C44" s="61"/>
      <c r="D44" s="20" t="s">
        <v>26</v>
      </c>
      <c r="E44" s="21">
        <v>0</v>
      </c>
      <c r="F44" s="21">
        <v>31200</v>
      </c>
      <c r="G44" s="21">
        <v>31000</v>
      </c>
      <c r="H44" s="21">
        <v>3000</v>
      </c>
      <c r="I44" s="21">
        <f>H44*102.7%</f>
        <v>3081.0000000000005</v>
      </c>
      <c r="J44" s="21">
        <f>I44*102.9%</f>
        <v>3170.3490000000011</v>
      </c>
      <c r="K44" s="21">
        <f>J44*102.2%</f>
        <v>3240.0966780000012</v>
      </c>
      <c r="L44" s="21">
        <f>SUM(F44:K44)</f>
        <v>74691.445678000004</v>
      </c>
    </row>
    <row r="45" spans="1:12" x14ac:dyDescent="0.25">
      <c r="A45" s="57"/>
      <c r="B45" s="62"/>
      <c r="C45" s="61"/>
      <c r="D45" s="20" t="s">
        <v>27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f>SUM(F45:K45)</f>
        <v>0</v>
      </c>
    </row>
    <row r="46" spans="1:12" x14ac:dyDescent="0.25">
      <c r="A46" s="57" t="s">
        <v>41</v>
      </c>
      <c r="B46" s="62" t="s">
        <v>35</v>
      </c>
      <c r="C46" s="61" t="s">
        <v>23</v>
      </c>
      <c r="D46" s="20" t="s">
        <v>20</v>
      </c>
      <c r="E46" s="21">
        <f>E47+E48+E49+E50</f>
        <v>1800</v>
      </c>
      <c r="F46" s="21">
        <f t="shared" ref="F46:K46" si="6">F47+F48+F49+F50</f>
        <v>1800</v>
      </c>
      <c r="G46" s="21">
        <f t="shared" si="6"/>
        <v>1800</v>
      </c>
      <c r="H46" s="21">
        <f t="shared" si="6"/>
        <v>1800</v>
      </c>
      <c r="I46" s="21">
        <f t="shared" si="6"/>
        <v>1800</v>
      </c>
      <c r="J46" s="21">
        <f t="shared" si="6"/>
        <v>1800</v>
      </c>
      <c r="K46" s="21">
        <f t="shared" si="6"/>
        <v>1800</v>
      </c>
      <c r="L46" s="21">
        <f>L47+L48+L49+L50</f>
        <v>10800</v>
      </c>
    </row>
    <row r="47" spans="1:12" x14ac:dyDescent="0.25">
      <c r="A47" s="57"/>
      <c r="B47" s="62"/>
      <c r="C47" s="61"/>
      <c r="D47" s="20" t="s">
        <v>24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f>SUM(F47:K47)</f>
        <v>0</v>
      </c>
    </row>
    <row r="48" spans="1:12" x14ac:dyDescent="0.25">
      <c r="A48" s="57"/>
      <c r="B48" s="62"/>
      <c r="C48" s="61"/>
      <c r="D48" s="20" t="s">
        <v>25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f>SUM(F48:K48)</f>
        <v>0</v>
      </c>
    </row>
    <row r="49" spans="1:12" x14ac:dyDescent="0.25">
      <c r="A49" s="57"/>
      <c r="B49" s="62"/>
      <c r="C49" s="61"/>
      <c r="D49" s="20" t="s">
        <v>26</v>
      </c>
      <c r="E49" s="21">
        <v>1800</v>
      </c>
      <c r="F49" s="21">
        <v>1800</v>
      </c>
      <c r="G49" s="21">
        <v>1800</v>
      </c>
      <c r="H49" s="21">
        <v>1800</v>
      </c>
      <c r="I49" s="21">
        <v>1800</v>
      </c>
      <c r="J49" s="21">
        <v>1800</v>
      </c>
      <c r="K49" s="21">
        <v>1800</v>
      </c>
      <c r="L49" s="21">
        <f>SUM(F49:K49)</f>
        <v>10800</v>
      </c>
    </row>
    <row r="50" spans="1:12" x14ac:dyDescent="0.25">
      <c r="A50" s="57"/>
      <c r="B50" s="62"/>
      <c r="C50" s="61"/>
      <c r="D50" s="20" t="s">
        <v>27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f>SUM(F50:K50)</f>
        <v>0</v>
      </c>
    </row>
    <row r="51" spans="1:12" x14ac:dyDescent="0.25">
      <c r="A51" s="57" t="s">
        <v>42</v>
      </c>
      <c r="B51" s="58" t="s">
        <v>47</v>
      </c>
      <c r="C51" s="61" t="s">
        <v>23</v>
      </c>
      <c r="D51" s="20" t="s">
        <v>20</v>
      </c>
      <c r="E51" s="21">
        <f>E52+E53+E54+E55</f>
        <v>62095.150000000009</v>
      </c>
      <c r="F51" s="21">
        <f t="shared" ref="F51:K51" si="7">F52+F53+F54+F55</f>
        <v>89753.89</v>
      </c>
      <c r="G51" s="21">
        <f t="shared" si="7"/>
        <v>72328.310000000012</v>
      </c>
      <c r="H51" s="21">
        <f t="shared" si="7"/>
        <v>69439.806250000009</v>
      </c>
      <c r="I51" s="21">
        <f t="shared" si="7"/>
        <v>71500.318317550016</v>
      </c>
      <c r="J51" s="21">
        <f t="shared" si="7"/>
        <v>73734.558509969982</v>
      </c>
      <c r="K51" s="21">
        <f t="shared" si="7"/>
        <v>75640.617893976305</v>
      </c>
      <c r="L51" s="21">
        <f>L52+L53+L54+L55</f>
        <v>452397.50097149634</v>
      </c>
    </row>
    <row r="52" spans="1:12" x14ac:dyDescent="0.25">
      <c r="A52" s="57"/>
      <c r="B52" s="59"/>
      <c r="C52" s="61"/>
      <c r="D52" s="20" t="s">
        <v>24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f t="shared" ref="L52:L60" si="8">SUM(F52:K52)</f>
        <v>0</v>
      </c>
    </row>
    <row r="53" spans="1:12" x14ac:dyDescent="0.25">
      <c r="A53" s="57"/>
      <c r="B53" s="59"/>
      <c r="C53" s="61"/>
      <c r="D53" s="20" t="s">
        <v>25</v>
      </c>
      <c r="E53" s="21">
        <v>2647.3</v>
      </c>
      <c r="F53" s="21">
        <v>2647.3</v>
      </c>
      <c r="G53" s="21">
        <v>2647.3</v>
      </c>
      <c r="H53" s="21">
        <v>0</v>
      </c>
      <c r="I53" s="21">
        <v>0</v>
      </c>
      <c r="J53" s="21">
        <v>0</v>
      </c>
      <c r="K53" s="21">
        <f>J53</f>
        <v>0</v>
      </c>
      <c r="L53" s="21">
        <f t="shared" si="8"/>
        <v>5294.6</v>
      </c>
    </row>
    <row r="54" spans="1:12" x14ac:dyDescent="0.25">
      <c r="A54" s="57"/>
      <c r="B54" s="59"/>
      <c r="C54" s="61"/>
      <c r="D54" s="20" t="s">
        <v>26</v>
      </c>
      <c r="E54" s="21">
        <v>45117.65</v>
      </c>
      <c r="F54" s="21">
        <v>72776.39</v>
      </c>
      <c r="G54" s="21">
        <v>54791.91</v>
      </c>
      <c r="H54" s="21">
        <f>G54*98.5%</f>
        <v>53970.031350000005</v>
      </c>
      <c r="I54" s="21">
        <f>H54*102.7%</f>
        <v>55427.222196450013</v>
      </c>
      <c r="J54" s="21">
        <f>I54*102.9%</f>
        <v>57034.611640147072</v>
      </c>
      <c r="K54" s="21">
        <f>J54*102.2%</f>
        <v>58289.373096230309</v>
      </c>
      <c r="L54" s="21">
        <f t="shared" si="8"/>
        <v>352289.53828282742</v>
      </c>
    </row>
    <row r="55" spans="1:12" x14ac:dyDescent="0.25">
      <c r="A55" s="57"/>
      <c r="B55" s="60"/>
      <c r="C55" s="61"/>
      <c r="D55" s="20" t="s">
        <v>27</v>
      </c>
      <c r="E55" s="21">
        <v>14330.2</v>
      </c>
      <c r="F55" s="21">
        <v>14330.2</v>
      </c>
      <c r="G55" s="21">
        <v>14889.1</v>
      </c>
      <c r="H55" s="21">
        <f>G55*103.9%</f>
        <v>15469.774900000002</v>
      </c>
      <c r="I55" s="21">
        <f>H55*103.9%</f>
        <v>16073.096121100005</v>
      </c>
      <c r="J55" s="21">
        <f>I55*103.9%</f>
        <v>16699.946869822907</v>
      </c>
      <c r="K55" s="21">
        <f>J55*103.9%</f>
        <v>17351.244797746003</v>
      </c>
      <c r="L55" s="21">
        <f t="shared" si="8"/>
        <v>94813.362688668916</v>
      </c>
    </row>
    <row r="56" spans="1:12" x14ac:dyDescent="0.25">
      <c r="A56" s="61"/>
      <c r="B56" s="61"/>
      <c r="C56" s="61" t="s">
        <v>37</v>
      </c>
      <c r="D56" s="19" t="s">
        <v>20</v>
      </c>
      <c r="E56" s="21">
        <f>E16+E21+E26+E31+E36+E41+E46+E51</f>
        <v>178278.36000000002</v>
      </c>
      <c r="F56" s="21">
        <f t="shared" ref="F56:K60" si="9">F16+F21+F26+F31+F36+F41+F46+F51</f>
        <v>270185.14999999997</v>
      </c>
      <c r="G56" s="21">
        <f t="shared" si="9"/>
        <v>250738.81</v>
      </c>
      <c r="H56" s="21">
        <f t="shared" si="9"/>
        <v>219348.76105000003</v>
      </c>
      <c r="I56" s="21">
        <f t="shared" si="9"/>
        <v>225449.20596595004</v>
      </c>
      <c r="J56" s="21">
        <f t="shared" si="9"/>
        <v>231973.56132248725</v>
      </c>
      <c r="K56" s="21">
        <f t="shared" si="9"/>
        <v>237788.26814359776</v>
      </c>
      <c r="L56" s="21">
        <f t="shared" si="8"/>
        <v>1435483.7564820352</v>
      </c>
    </row>
    <row r="57" spans="1:12" x14ac:dyDescent="0.25">
      <c r="A57" s="61"/>
      <c r="B57" s="61"/>
      <c r="C57" s="61"/>
      <c r="D57" s="19" t="s">
        <v>24</v>
      </c>
      <c r="E57" s="21">
        <f>E17+E22+E27+E32+E37+E42+E47+E52</f>
        <v>0</v>
      </c>
      <c r="F57" s="21">
        <f t="shared" si="9"/>
        <v>0</v>
      </c>
      <c r="G57" s="21">
        <f t="shared" si="9"/>
        <v>0</v>
      </c>
      <c r="H57" s="21">
        <f t="shared" si="9"/>
        <v>0</v>
      </c>
      <c r="I57" s="21">
        <f t="shared" si="9"/>
        <v>0</v>
      </c>
      <c r="J57" s="21">
        <f t="shared" si="9"/>
        <v>0</v>
      </c>
      <c r="K57" s="21">
        <f t="shared" si="9"/>
        <v>0</v>
      </c>
      <c r="L57" s="21">
        <f t="shared" si="8"/>
        <v>0</v>
      </c>
    </row>
    <row r="58" spans="1:12" x14ac:dyDescent="0.25">
      <c r="A58" s="61"/>
      <c r="B58" s="61"/>
      <c r="C58" s="61"/>
      <c r="D58" s="19" t="s">
        <v>25</v>
      </c>
      <c r="E58" s="21">
        <f>E18+E23+E28+E33+E38+E43+E48+E53</f>
        <v>4304.3999999999996</v>
      </c>
      <c r="F58" s="21">
        <f t="shared" si="9"/>
        <v>4304.3999999999996</v>
      </c>
      <c r="G58" s="21">
        <f t="shared" si="9"/>
        <v>4304.3999999999996</v>
      </c>
      <c r="H58" s="21">
        <f t="shared" si="9"/>
        <v>0</v>
      </c>
      <c r="I58" s="21">
        <f t="shared" si="9"/>
        <v>0</v>
      </c>
      <c r="J58" s="21">
        <f t="shared" si="9"/>
        <v>0</v>
      </c>
      <c r="K58" s="21">
        <f t="shared" si="9"/>
        <v>0</v>
      </c>
      <c r="L58" s="21">
        <f t="shared" si="8"/>
        <v>8608.7999999999993</v>
      </c>
    </row>
    <row r="59" spans="1:12" x14ac:dyDescent="0.25">
      <c r="A59" s="61"/>
      <c r="B59" s="61"/>
      <c r="C59" s="61"/>
      <c r="D59" s="19" t="s">
        <v>26</v>
      </c>
      <c r="E59" s="21">
        <f>E19+E24+E29+E34+E39+E44+E49+E54</f>
        <v>83756.36</v>
      </c>
      <c r="F59" s="21">
        <f t="shared" si="9"/>
        <v>175663.15</v>
      </c>
      <c r="G59" s="21">
        <f t="shared" si="9"/>
        <v>153562.71</v>
      </c>
      <c r="H59" s="21">
        <f t="shared" si="9"/>
        <v>123751.26935</v>
      </c>
      <c r="I59" s="21">
        <f t="shared" si="9"/>
        <v>127043.95362245003</v>
      </c>
      <c r="J59" s="21">
        <f t="shared" si="9"/>
        <v>130676.02827750109</v>
      </c>
      <c r="K59" s="21">
        <f t="shared" si="9"/>
        <v>133511.30089960614</v>
      </c>
      <c r="L59" s="21">
        <f t="shared" si="8"/>
        <v>844208.41214955738</v>
      </c>
    </row>
    <row r="60" spans="1:12" x14ac:dyDescent="0.25">
      <c r="A60" s="61"/>
      <c r="B60" s="61"/>
      <c r="C60" s="61"/>
      <c r="D60" s="19" t="s">
        <v>27</v>
      </c>
      <c r="E60" s="21">
        <f>E20+E25+E30+E35+E40+E45+E50+E55</f>
        <v>90217.599999999991</v>
      </c>
      <c r="F60" s="21">
        <f t="shared" si="9"/>
        <v>90217.599999999991</v>
      </c>
      <c r="G60" s="21">
        <f t="shared" si="9"/>
        <v>92871.700000000012</v>
      </c>
      <c r="H60" s="21">
        <f t="shared" si="9"/>
        <v>95597.491700000013</v>
      </c>
      <c r="I60" s="21">
        <f t="shared" si="9"/>
        <v>98405.252343500018</v>
      </c>
      <c r="J60" s="21">
        <f t="shared" si="9"/>
        <v>101297.53304498614</v>
      </c>
      <c r="K60" s="21">
        <f t="shared" si="9"/>
        <v>104276.96724399168</v>
      </c>
      <c r="L60" s="21">
        <f t="shared" si="8"/>
        <v>582666.54433247785</v>
      </c>
    </row>
    <row r="62" spans="1:12" x14ac:dyDescent="0.25">
      <c r="F62" s="23">
        <f>F59-D5</f>
        <v>55251.549999999988</v>
      </c>
    </row>
    <row r="63" spans="1:12" x14ac:dyDescent="0.25">
      <c r="H63" s="23">
        <f>G5-H59</f>
        <v>-5145.8433499999956</v>
      </c>
      <c r="I63" s="23">
        <f>H5-I59</f>
        <v>-5236.1811204500409</v>
      </c>
      <c r="J63" s="23">
        <f>I5-J59</f>
        <v>-5335.8303729431063</v>
      </c>
      <c r="K63" s="23">
        <f>J5-K59</f>
        <v>-5413.6186411478848</v>
      </c>
    </row>
  </sheetData>
  <mergeCells count="34">
    <mergeCell ref="A56:B60"/>
    <mergeCell ref="C56:C60"/>
    <mergeCell ref="A46:A50"/>
    <mergeCell ref="B46:B50"/>
    <mergeCell ref="C46:C50"/>
    <mergeCell ref="A51:A55"/>
    <mergeCell ref="B51:B55"/>
    <mergeCell ref="C51:C55"/>
    <mergeCell ref="A36:A40"/>
    <mergeCell ref="B36:B40"/>
    <mergeCell ref="C36:C40"/>
    <mergeCell ref="A41:A45"/>
    <mergeCell ref="B41:B45"/>
    <mergeCell ref="C41:C45"/>
    <mergeCell ref="A26:A30"/>
    <mergeCell ref="B26:B30"/>
    <mergeCell ref="C26:C30"/>
    <mergeCell ref="A31:A35"/>
    <mergeCell ref="B31:B35"/>
    <mergeCell ref="C31:C35"/>
    <mergeCell ref="A16:A20"/>
    <mergeCell ref="B16:B20"/>
    <mergeCell ref="C16:C20"/>
    <mergeCell ref="A21:A25"/>
    <mergeCell ref="B21:B25"/>
    <mergeCell ref="C21:C25"/>
    <mergeCell ref="A1:J1"/>
    <mergeCell ref="A9:L9"/>
    <mergeCell ref="A10:L10"/>
    <mergeCell ref="A12:A14"/>
    <mergeCell ref="B12:B14"/>
    <mergeCell ref="C12:C14"/>
    <mergeCell ref="D12:D14"/>
    <mergeCell ref="E12:L13"/>
  </mergeCells>
  <pageMargins left="0.51181102362204722" right="0.31496062992125984" top="0.55118110236220474" bottom="0.19685039370078741" header="0" footer="0"/>
  <pageSetup paperSize="8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opLeftCell="A9" zoomScale="75" zoomScaleNormal="75" workbookViewId="0">
      <selection activeCell="K21" sqref="K21"/>
    </sheetView>
  </sheetViews>
  <sheetFormatPr defaultRowHeight="15" x14ac:dyDescent="0.25"/>
  <cols>
    <col min="1" max="1" width="7.140625" customWidth="1"/>
    <col min="2" max="2" width="55" customWidth="1"/>
    <col min="3" max="3" width="16.85546875" customWidth="1"/>
    <col min="4" max="4" width="13.7109375" customWidth="1"/>
    <col min="5" max="5" width="14.140625" customWidth="1"/>
    <col min="6" max="6" width="14.85546875" customWidth="1"/>
    <col min="7" max="7" width="12.85546875" customWidth="1"/>
    <col min="8" max="8" width="13.7109375" customWidth="1"/>
    <col min="9" max="9" width="14.140625" customWidth="1"/>
    <col min="10" max="10" width="11.5703125" bestFit="1" customWidth="1"/>
    <col min="11" max="11" width="13.28515625" customWidth="1"/>
  </cols>
  <sheetData>
    <row r="1" spans="1:11" ht="21" customHeight="1" x14ac:dyDescent="0.25">
      <c r="B1" s="7"/>
      <c r="C1" s="7"/>
      <c r="D1" s="7"/>
      <c r="E1" s="7"/>
      <c r="F1" s="7"/>
      <c r="G1" s="7"/>
      <c r="H1" s="7"/>
      <c r="I1" s="27"/>
      <c r="J1" s="28" t="s">
        <v>48</v>
      </c>
      <c r="K1" s="28"/>
    </row>
    <row r="2" spans="1:11" x14ac:dyDescent="0.25">
      <c r="B2" s="4"/>
      <c r="C2" s="4"/>
      <c r="D2" s="4"/>
      <c r="E2" s="4"/>
      <c r="F2" s="4"/>
      <c r="G2" s="4"/>
      <c r="H2" s="4"/>
      <c r="I2" s="29" t="s">
        <v>49</v>
      </c>
      <c r="J2" s="29"/>
      <c r="K2" s="28"/>
    </row>
    <row r="3" spans="1:11" x14ac:dyDescent="0.25">
      <c r="B3" s="5"/>
      <c r="C3" s="13"/>
      <c r="D3" s="13"/>
      <c r="E3" s="13"/>
      <c r="F3" s="13"/>
      <c r="G3" s="13"/>
      <c r="H3" s="13"/>
      <c r="I3" s="29" t="s">
        <v>50</v>
      </c>
      <c r="J3" s="28"/>
      <c r="K3" s="29"/>
    </row>
    <row r="4" spans="1:11" x14ac:dyDescent="0.25">
      <c r="B4" s="5"/>
      <c r="C4" s="13"/>
      <c r="D4" s="13"/>
      <c r="E4" s="13"/>
      <c r="F4" s="13"/>
      <c r="G4" s="13"/>
      <c r="H4" s="13"/>
      <c r="I4" s="29"/>
      <c r="J4" s="28"/>
      <c r="K4" s="29"/>
    </row>
    <row r="5" spans="1:11" x14ac:dyDescent="0.25">
      <c r="A5" s="73" t="s">
        <v>14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x14ac:dyDescent="0.25">
      <c r="A6" s="73" t="s">
        <v>15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x14ac:dyDescent="0.25">
      <c r="A7" s="17"/>
      <c r="B7" s="18"/>
      <c r="C7" s="18"/>
      <c r="D7" s="18"/>
      <c r="E7" s="18"/>
      <c r="F7" s="18"/>
      <c r="G7" s="26">
        <v>98.5</v>
      </c>
      <c r="H7" s="22">
        <v>102.7</v>
      </c>
      <c r="I7" s="22">
        <v>102.9</v>
      </c>
      <c r="J7" s="22">
        <v>102.2</v>
      </c>
      <c r="K7" s="18"/>
    </row>
    <row r="8" spans="1:11" ht="15" customHeight="1" x14ac:dyDescent="0.25">
      <c r="A8" s="61" t="s">
        <v>7</v>
      </c>
      <c r="B8" s="61" t="s">
        <v>16</v>
      </c>
      <c r="C8" s="61" t="s">
        <v>17</v>
      </c>
      <c r="D8" s="61" t="s">
        <v>18</v>
      </c>
      <c r="E8" s="75"/>
      <c r="F8" s="75"/>
      <c r="G8" s="75"/>
      <c r="H8" s="75"/>
      <c r="I8" s="75"/>
      <c r="J8" s="75"/>
      <c r="K8" s="76"/>
    </row>
    <row r="9" spans="1:11" ht="10.5" customHeight="1" x14ac:dyDescent="0.25">
      <c r="A9" s="61"/>
      <c r="B9" s="61"/>
      <c r="C9" s="61"/>
      <c r="D9" s="61"/>
      <c r="E9" s="78"/>
      <c r="F9" s="78"/>
      <c r="G9" s="78"/>
      <c r="H9" s="78"/>
      <c r="I9" s="78"/>
      <c r="J9" s="78"/>
      <c r="K9" s="79"/>
    </row>
    <row r="10" spans="1:11" ht="43.5" customHeight="1" x14ac:dyDescent="0.25">
      <c r="A10" s="61"/>
      <c r="B10" s="61"/>
      <c r="C10" s="61"/>
      <c r="D10" s="61"/>
      <c r="E10" s="19" t="s">
        <v>65</v>
      </c>
      <c r="F10" s="19" t="s">
        <v>0</v>
      </c>
      <c r="G10" s="20" t="s">
        <v>3</v>
      </c>
      <c r="H10" s="19" t="s">
        <v>4</v>
      </c>
      <c r="I10" s="19" t="s">
        <v>5</v>
      </c>
      <c r="J10" s="19" t="s">
        <v>6</v>
      </c>
      <c r="K10" s="19" t="s">
        <v>20</v>
      </c>
    </row>
    <row r="11" spans="1:11" ht="12" customHeight="1" x14ac:dyDescent="0.25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4">
        <v>9</v>
      </c>
      <c r="J11" s="24">
        <v>10</v>
      </c>
      <c r="K11" s="24">
        <v>11</v>
      </c>
    </row>
    <row r="12" spans="1:11" x14ac:dyDescent="0.25">
      <c r="A12" s="64">
        <v>1</v>
      </c>
      <c r="B12" s="65" t="s">
        <v>22</v>
      </c>
      <c r="C12" s="61" t="s">
        <v>23</v>
      </c>
      <c r="D12" s="19" t="s">
        <v>20</v>
      </c>
      <c r="E12" s="21">
        <f t="shared" ref="E12:J12" si="0">SUM(E13:E16)</f>
        <v>15530.74</v>
      </c>
      <c r="F12" s="21">
        <f t="shared" si="0"/>
        <v>15620.94</v>
      </c>
      <c r="G12" s="21">
        <f t="shared" si="0"/>
        <v>14210.592199999999</v>
      </c>
      <c r="H12" s="21">
        <f t="shared" si="0"/>
        <v>14631.619258199999</v>
      </c>
      <c r="I12" s="21">
        <f t="shared" si="0"/>
        <v>15090.0146096014</v>
      </c>
      <c r="J12" s="21">
        <f t="shared" si="0"/>
        <v>15475.310576725959</v>
      </c>
      <c r="K12" s="21">
        <f>K13+K14+K15+K16</f>
        <v>90559.216644527347</v>
      </c>
    </row>
    <row r="13" spans="1:11" x14ac:dyDescent="0.25">
      <c r="A13" s="64"/>
      <c r="B13" s="65"/>
      <c r="C13" s="61"/>
      <c r="D13" s="19" t="s">
        <v>24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f>SUM(E13:J13)</f>
        <v>0</v>
      </c>
    </row>
    <row r="14" spans="1:11" x14ac:dyDescent="0.25">
      <c r="A14" s="64"/>
      <c r="B14" s="65"/>
      <c r="C14" s="61"/>
      <c r="D14" s="19" t="s">
        <v>25</v>
      </c>
      <c r="E14" s="21">
        <v>1325.7</v>
      </c>
      <c r="F14" s="21">
        <v>1325.7</v>
      </c>
      <c r="G14" s="21">
        <v>0</v>
      </c>
      <c r="H14" s="21">
        <v>0</v>
      </c>
      <c r="I14" s="21">
        <v>0</v>
      </c>
      <c r="J14" s="21">
        <v>0</v>
      </c>
      <c r="K14" s="21">
        <f>SUM(E14:J14)</f>
        <v>2651.4</v>
      </c>
    </row>
    <row r="15" spans="1:11" x14ac:dyDescent="0.25">
      <c r="A15" s="64"/>
      <c r="B15" s="65"/>
      <c r="C15" s="61"/>
      <c r="D15" s="19" t="s">
        <v>26</v>
      </c>
      <c r="E15" s="34">
        <v>12057.64</v>
      </c>
      <c r="F15" s="34">
        <v>12057.64</v>
      </c>
      <c r="G15" s="34">
        <f>F15*98.5%</f>
        <v>11876.775399999999</v>
      </c>
      <c r="H15" s="34">
        <f>G15*102.7%</f>
        <v>12197.4483358</v>
      </c>
      <c r="I15" s="34">
        <f>H15*102.9%</f>
        <v>12551.174337538201</v>
      </c>
      <c r="J15" s="34">
        <f>I15*102.2%</f>
        <v>12827.300172964042</v>
      </c>
      <c r="K15" s="21">
        <f>SUM(E15:J15)</f>
        <v>73567.978246302242</v>
      </c>
    </row>
    <row r="16" spans="1:11" x14ac:dyDescent="0.25">
      <c r="A16" s="64"/>
      <c r="B16" s="65"/>
      <c r="C16" s="61"/>
      <c r="D16" s="19" t="s">
        <v>27</v>
      </c>
      <c r="E16" s="21">
        <v>2147.4</v>
      </c>
      <c r="F16" s="21">
        <v>2237.6</v>
      </c>
      <c r="G16" s="21">
        <f>F16*104.3%</f>
        <v>2333.8167999999996</v>
      </c>
      <c r="H16" s="21">
        <f>G16*104.3%</f>
        <v>2434.1709223999992</v>
      </c>
      <c r="I16" s="21">
        <f>H16*104.3%</f>
        <v>2538.8402720631989</v>
      </c>
      <c r="J16" s="21">
        <f>I16*104.3%</f>
        <v>2648.0104037619162</v>
      </c>
      <c r="K16" s="21">
        <f>SUM(E16:J16)</f>
        <v>14339.838398225114</v>
      </c>
    </row>
    <row r="17" spans="1:11" x14ac:dyDescent="0.25">
      <c r="A17" s="66">
        <v>2</v>
      </c>
      <c r="B17" s="68" t="s">
        <v>29</v>
      </c>
      <c r="C17" s="70" t="s">
        <v>23</v>
      </c>
      <c r="D17" s="19" t="s">
        <v>20</v>
      </c>
      <c r="E17" s="21">
        <f t="shared" ref="E17:J17" si="1">SUM(E18:E21)</f>
        <v>95255.2</v>
      </c>
      <c r="F17" s="21">
        <f t="shared" si="1"/>
        <v>96255.2</v>
      </c>
      <c r="G17" s="21">
        <f t="shared" si="1"/>
        <v>97255.2</v>
      </c>
      <c r="H17" s="21">
        <f t="shared" si="1"/>
        <v>98842.590400000001</v>
      </c>
      <c r="I17" s="21">
        <f t="shared" si="1"/>
        <v>100490.52552160001</v>
      </c>
      <c r="J17" s="21">
        <f t="shared" si="1"/>
        <v>101996.31708307521</v>
      </c>
      <c r="K17" s="21">
        <f>K18+K19+K20+K21</f>
        <v>590095.03300467529</v>
      </c>
    </row>
    <row r="18" spans="1:11" x14ac:dyDescent="0.25">
      <c r="A18" s="67"/>
      <c r="B18" s="69"/>
      <c r="C18" s="71"/>
      <c r="D18" s="19" t="s">
        <v>24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f>SUM(E18:J18)</f>
        <v>0</v>
      </c>
    </row>
    <row r="19" spans="1:11" x14ac:dyDescent="0.25">
      <c r="A19" s="67"/>
      <c r="B19" s="69"/>
      <c r="C19" s="71"/>
      <c r="D19" s="19" t="s">
        <v>25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f>SUM(E19:J19)</f>
        <v>0</v>
      </c>
    </row>
    <row r="20" spans="1:11" x14ac:dyDescent="0.25">
      <c r="A20" s="67"/>
      <c r="B20" s="69"/>
      <c r="C20" s="71"/>
      <c r="D20" s="19" t="s">
        <v>26</v>
      </c>
      <c r="E20" s="21">
        <v>21755.200000000001</v>
      </c>
      <c r="F20" s="21">
        <v>21755.200000000001</v>
      </c>
      <c r="G20" s="21">
        <v>21755.200000000001</v>
      </c>
      <c r="H20" s="21">
        <f>G20*102.7%</f>
        <v>22342.590400000005</v>
      </c>
      <c r="I20" s="21">
        <f>H20*102.9%</f>
        <v>22990.525521600008</v>
      </c>
      <c r="J20" s="21">
        <f>I20*102.2%</f>
        <v>23496.31708307521</v>
      </c>
      <c r="K20" s="21">
        <f>SUM(E20:J20)</f>
        <v>134095.03300467524</v>
      </c>
    </row>
    <row r="21" spans="1:11" x14ac:dyDescent="0.25">
      <c r="A21" s="67"/>
      <c r="B21" s="69"/>
      <c r="C21" s="72"/>
      <c r="D21" s="19" t="s">
        <v>27</v>
      </c>
      <c r="E21" s="21">
        <v>73500</v>
      </c>
      <c r="F21" s="21">
        <v>74500</v>
      </c>
      <c r="G21" s="21">
        <v>75500</v>
      </c>
      <c r="H21" s="21">
        <v>76500</v>
      </c>
      <c r="I21" s="21">
        <v>77500</v>
      </c>
      <c r="J21" s="21">
        <v>78500</v>
      </c>
      <c r="K21" s="21">
        <f>SUM(E21:J21)</f>
        <v>456000</v>
      </c>
    </row>
    <row r="22" spans="1:11" x14ac:dyDescent="0.25">
      <c r="A22" s="63">
        <v>3</v>
      </c>
      <c r="B22" s="62" t="s">
        <v>31</v>
      </c>
      <c r="C22" s="61" t="s">
        <v>23</v>
      </c>
      <c r="D22" s="20" t="s">
        <v>20</v>
      </c>
      <c r="E22" s="21">
        <f t="shared" ref="E22:J22" si="2">E23+E24+E25+E26</f>
        <v>7396.0599999999995</v>
      </c>
      <c r="F22" s="21">
        <f t="shared" si="2"/>
        <v>3485.1</v>
      </c>
      <c r="G22" s="21">
        <f t="shared" si="2"/>
        <v>3112.0694999999996</v>
      </c>
      <c r="H22" s="21">
        <f t="shared" si="2"/>
        <v>3199.7453765</v>
      </c>
      <c r="I22" s="21">
        <f t="shared" si="2"/>
        <v>3295.9429924185006</v>
      </c>
      <c r="J22" s="21">
        <f t="shared" si="2"/>
        <v>3372.1337382517077</v>
      </c>
      <c r="K22" s="21">
        <f>K23+K24+K25+K26</f>
        <v>23861.051607170211</v>
      </c>
    </row>
    <row r="23" spans="1:11" x14ac:dyDescent="0.25">
      <c r="A23" s="63"/>
      <c r="B23" s="62"/>
      <c r="C23" s="61"/>
      <c r="D23" s="20" t="s">
        <v>24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f>SUM(E23:J23)</f>
        <v>0</v>
      </c>
    </row>
    <row r="24" spans="1:11" x14ac:dyDescent="0.25">
      <c r="A24" s="63"/>
      <c r="B24" s="62"/>
      <c r="C24" s="61"/>
      <c r="D24" s="20" t="s">
        <v>25</v>
      </c>
      <c r="E24" s="21">
        <v>331.4</v>
      </c>
      <c r="F24" s="21">
        <v>331.4</v>
      </c>
      <c r="G24" s="21">
        <v>0</v>
      </c>
      <c r="H24" s="21">
        <v>0</v>
      </c>
      <c r="I24" s="21">
        <v>0</v>
      </c>
      <c r="J24" s="21">
        <f>I24</f>
        <v>0</v>
      </c>
      <c r="K24" s="21">
        <f>SUM(E24:J24)</f>
        <v>662.8</v>
      </c>
    </row>
    <row r="25" spans="1:11" x14ac:dyDescent="0.25">
      <c r="A25" s="63"/>
      <c r="B25" s="62"/>
      <c r="C25" s="61"/>
      <c r="D25" s="20" t="s">
        <v>26</v>
      </c>
      <c r="E25" s="34">
        <v>7024.66</v>
      </c>
      <c r="F25" s="34">
        <v>3108.7</v>
      </c>
      <c r="G25" s="34">
        <f>F25*98.5%</f>
        <v>3062.0694999999996</v>
      </c>
      <c r="H25" s="34">
        <f>G25*102.7%</f>
        <v>3144.7453765</v>
      </c>
      <c r="I25" s="34">
        <f>H25*102.9%</f>
        <v>3235.9429924185006</v>
      </c>
      <c r="J25" s="34">
        <f>I25*102.2%</f>
        <v>3307.1337382517077</v>
      </c>
      <c r="K25" s="21">
        <f>SUM(E25:J25)</f>
        <v>22883.251607170212</v>
      </c>
    </row>
    <row r="26" spans="1:11" x14ac:dyDescent="0.25">
      <c r="A26" s="63"/>
      <c r="B26" s="62"/>
      <c r="C26" s="61"/>
      <c r="D26" s="20" t="s">
        <v>27</v>
      </c>
      <c r="E26" s="21">
        <v>40</v>
      </c>
      <c r="F26" s="21">
        <v>45</v>
      </c>
      <c r="G26" s="21">
        <v>50</v>
      </c>
      <c r="H26" s="21">
        <v>55</v>
      </c>
      <c r="I26" s="21">
        <v>60</v>
      </c>
      <c r="J26" s="21">
        <v>65</v>
      </c>
      <c r="K26" s="21">
        <f>SUM(E26:J26)</f>
        <v>315</v>
      </c>
    </row>
    <row r="27" spans="1:11" x14ac:dyDescent="0.25">
      <c r="A27" s="57" t="s">
        <v>56</v>
      </c>
      <c r="B27" s="62" t="s">
        <v>32</v>
      </c>
      <c r="C27" s="61" t="s">
        <v>23</v>
      </c>
      <c r="D27" s="20" t="s">
        <v>20</v>
      </c>
      <c r="E27" s="21">
        <f t="shared" ref="E27:J27" si="3">E28+E29+E30+E31</f>
        <v>6400</v>
      </c>
      <c r="F27" s="21">
        <f t="shared" si="3"/>
        <v>6400</v>
      </c>
      <c r="G27" s="21">
        <f t="shared" si="3"/>
        <v>6400</v>
      </c>
      <c r="H27" s="21">
        <f t="shared" si="3"/>
        <v>6572.8000000000011</v>
      </c>
      <c r="I27" s="21">
        <f t="shared" si="3"/>
        <v>6763.4112000000023</v>
      </c>
      <c r="J27" s="21">
        <f t="shared" si="3"/>
        <v>6912.2062464000028</v>
      </c>
      <c r="K27" s="21">
        <f>K28+K29+K30+K31</f>
        <v>39448.41744640001</v>
      </c>
    </row>
    <row r="28" spans="1:11" x14ac:dyDescent="0.25">
      <c r="A28" s="57"/>
      <c r="B28" s="62"/>
      <c r="C28" s="61"/>
      <c r="D28" s="20" t="s">
        <v>24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f>SUM(E28:J28)</f>
        <v>0</v>
      </c>
    </row>
    <row r="29" spans="1:11" x14ac:dyDescent="0.25">
      <c r="A29" s="57"/>
      <c r="B29" s="62"/>
      <c r="C29" s="61"/>
      <c r="D29" s="20" t="s">
        <v>25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f>SUM(E29:J29)</f>
        <v>0</v>
      </c>
    </row>
    <row r="30" spans="1:11" x14ac:dyDescent="0.25">
      <c r="A30" s="57"/>
      <c r="B30" s="62"/>
      <c r="C30" s="61"/>
      <c r="D30" s="20" t="s">
        <v>26</v>
      </c>
      <c r="E30" s="21">
        <v>6400</v>
      </c>
      <c r="F30" s="21">
        <v>6400</v>
      </c>
      <c r="G30" s="21">
        <v>6400</v>
      </c>
      <c r="H30" s="21">
        <f>G30*102.7%</f>
        <v>6572.8000000000011</v>
      </c>
      <c r="I30" s="21">
        <f>H30*102.9%</f>
        <v>6763.4112000000023</v>
      </c>
      <c r="J30" s="21">
        <f>I30*102.2%</f>
        <v>6912.2062464000028</v>
      </c>
      <c r="K30" s="21">
        <f>SUM(E30:J30)</f>
        <v>39448.41744640001</v>
      </c>
    </row>
    <row r="31" spans="1:11" x14ac:dyDescent="0.25">
      <c r="A31" s="57"/>
      <c r="B31" s="62"/>
      <c r="C31" s="61"/>
      <c r="D31" s="20" t="s">
        <v>27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f>SUM(E31:J31)</f>
        <v>0</v>
      </c>
    </row>
    <row r="32" spans="1:11" x14ac:dyDescent="0.25">
      <c r="A32" s="57" t="s">
        <v>57</v>
      </c>
      <c r="B32" s="62" t="s">
        <v>62</v>
      </c>
      <c r="C32" s="61" t="s">
        <v>23</v>
      </c>
      <c r="D32" s="20" t="s">
        <v>20</v>
      </c>
      <c r="E32" s="21">
        <f t="shared" ref="E32:J32" si="4">E35+E36</f>
        <v>2300</v>
      </c>
      <c r="F32" s="21">
        <f t="shared" si="4"/>
        <v>2300</v>
      </c>
      <c r="G32" s="21">
        <f t="shared" si="4"/>
        <v>2300</v>
      </c>
      <c r="H32" s="21">
        <f t="shared" si="4"/>
        <v>2362.1000000000004</v>
      </c>
      <c r="I32" s="21">
        <f t="shared" si="4"/>
        <v>2430.6009000000008</v>
      </c>
      <c r="J32" s="21">
        <f t="shared" si="4"/>
        <v>2484.074119800001</v>
      </c>
      <c r="K32" s="21">
        <f>SUM(E32:J32)</f>
        <v>14176.775019800003</v>
      </c>
    </row>
    <row r="33" spans="1:11" x14ac:dyDescent="0.25">
      <c r="A33" s="57"/>
      <c r="B33" s="62"/>
      <c r="C33" s="61"/>
      <c r="D33" s="20" t="s">
        <v>24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</row>
    <row r="34" spans="1:11" x14ac:dyDescent="0.25">
      <c r="A34" s="57"/>
      <c r="B34" s="62"/>
      <c r="C34" s="61"/>
      <c r="D34" s="20" t="s">
        <v>25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</row>
    <row r="35" spans="1:11" x14ac:dyDescent="0.25">
      <c r="A35" s="57"/>
      <c r="B35" s="62"/>
      <c r="C35" s="61"/>
      <c r="D35" s="20" t="s">
        <v>26</v>
      </c>
      <c r="E35" s="21">
        <v>2300</v>
      </c>
      <c r="F35" s="21">
        <v>2300</v>
      </c>
      <c r="G35" s="21">
        <v>2300</v>
      </c>
      <c r="H35" s="21">
        <f>G35*102.7%</f>
        <v>2362.1000000000004</v>
      </c>
      <c r="I35" s="21">
        <f>H35*102.9%</f>
        <v>2430.6009000000008</v>
      </c>
      <c r="J35" s="21">
        <f>I35*102.2%</f>
        <v>2484.074119800001</v>
      </c>
      <c r="K35" s="21">
        <f>SUM(E35:J35)</f>
        <v>14176.775019800003</v>
      </c>
    </row>
    <row r="36" spans="1:11" x14ac:dyDescent="0.25">
      <c r="A36" s="57"/>
      <c r="B36" s="62"/>
      <c r="C36" s="61"/>
      <c r="D36" s="20" t="s">
        <v>27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f>E36+F36+G36+H36+I36+J36</f>
        <v>0</v>
      </c>
    </row>
    <row r="37" spans="1:11" x14ac:dyDescent="0.25">
      <c r="A37" s="57" t="s">
        <v>58</v>
      </c>
      <c r="B37" s="62" t="s">
        <v>34</v>
      </c>
      <c r="C37" s="61" t="s">
        <v>23</v>
      </c>
      <c r="D37" s="20" t="s">
        <v>20</v>
      </c>
      <c r="E37" s="21">
        <f t="shared" ref="E37:J37" si="5">E38+E39+E40+E41</f>
        <v>16500</v>
      </c>
      <c r="F37" s="21">
        <f t="shared" si="5"/>
        <v>16500</v>
      </c>
      <c r="G37" s="21">
        <f t="shared" si="5"/>
        <v>16500</v>
      </c>
      <c r="H37" s="21">
        <f t="shared" si="5"/>
        <v>16945.500000000004</v>
      </c>
      <c r="I37" s="21">
        <f t="shared" si="5"/>
        <v>17436.919500000007</v>
      </c>
      <c r="J37" s="21">
        <f t="shared" si="5"/>
        <v>17820.531729000009</v>
      </c>
      <c r="K37" s="21">
        <f>K38+K39+K40+K41</f>
        <v>101702.95122900001</v>
      </c>
    </row>
    <row r="38" spans="1:11" x14ac:dyDescent="0.25">
      <c r="A38" s="57"/>
      <c r="B38" s="62"/>
      <c r="C38" s="61"/>
      <c r="D38" s="20" t="s">
        <v>24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f>SUM(E38:J38)</f>
        <v>0</v>
      </c>
    </row>
    <row r="39" spans="1:11" x14ac:dyDescent="0.25">
      <c r="A39" s="57"/>
      <c r="B39" s="62"/>
      <c r="C39" s="61"/>
      <c r="D39" s="20" t="s">
        <v>25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f>SUM(E39:J39)</f>
        <v>0</v>
      </c>
    </row>
    <row r="40" spans="1:11" x14ac:dyDescent="0.25">
      <c r="A40" s="57"/>
      <c r="B40" s="62"/>
      <c r="C40" s="61"/>
      <c r="D40" s="20" t="s">
        <v>26</v>
      </c>
      <c r="E40" s="21">
        <v>16500</v>
      </c>
      <c r="F40" s="21">
        <v>16500</v>
      </c>
      <c r="G40" s="21">
        <v>16500</v>
      </c>
      <c r="H40" s="21">
        <f>G40*102.7%</f>
        <v>16945.500000000004</v>
      </c>
      <c r="I40" s="21">
        <f>H40*102.9%</f>
        <v>17436.919500000007</v>
      </c>
      <c r="J40" s="21">
        <f>I40*102.2%</f>
        <v>17820.531729000009</v>
      </c>
      <c r="K40" s="21">
        <f>SUM(E40:J40)</f>
        <v>101702.95122900001</v>
      </c>
    </row>
    <row r="41" spans="1:11" x14ac:dyDescent="0.25">
      <c r="A41" s="57"/>
      <c r="B41" s="62"/>
      <c r="C41" s="61"/>
      <c r="D41" s="20" t="s">
        <v>27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f>SUM(E41:J41)</f>
        <v>0</v>
      </c>
    </row>
    <row r="42" spans="1:11" x14ac:dyDescent="0.25">
      <c r="A42" s="57" t="s">
        <v>59</v>
      </c>
      <c r="B42" s="62" t="s">
        <v>35</v>
      </c>
      <c r="C42" s="61" t="s">
        <v>23</v>
      </c>
      <c r="D42" s="20" t="s">
        <v>20</v>
      </c>
      <c r="E42" s="21">
        <f t="shared" ref="E42:J42" si="6">E43+E44+E45+E46</f>
        <v>1800</v>
      </c>
      <c r="F42" s="21">
        <f t="shared" si="6"/>
        <v>1800</v>
      </c>
      <c r="G42" s="21">
        <f t="shared" si="6"/>
        <v>1800</v>
      </c>
      <c r="H42" s="21">
        <f t="shared" si="6"/>
        <v>1800</v>
      </c>
      <c r="I42" s="21">
        <f t="shared" si="6"/>
        <v>1800</v>
      </c>
      <c r="J42" s="21">
        <f t="shared" si="6"/>
        <v>1800</v>
      </c>
      <c r="K42" s="21">
        <f>K43+K44+K45+K46</f>
        <v>10800</v>
      </c>
    </row>
    <row r="43" spans="1:11" x14ac:dyDescent="0.25">
      <c r="A43" s="57"/>
      <c r="B43" s="62"/>
      <c r="C43" s="61"/>
      <c r="D43" s="20" t="s">
        <v>24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f>SUM(E43:J43)</f>
        <v>0</v>
      </c>
    </row>
    <row r="44" spans="1:11" x14ac:dyDescent="0.25">
      <c r="A44" s="57"/>
      <c r="B44" s="62"/>
      <c r="C44" s="61"/>
      <c r="D44" s="20" t="s">
        <v>25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f>SUM(E44:J44)</f>
        <v>0</v>
      </c>
    </row>
    <row r="45" spans="1:11" x14ac:dyDescent="0.25">
      <c r="A45" s="57"/>
      <c r="B45" s="62"/>
      <c r="C45" s="61"/>
      <c r="D45" s="20" t="s">
        <v>26</v>
      </c>
      <c r="E45" s="21">
        <v>1800</v>
      </c>
      <c r="F45" s="21">
        <v>1800</v>
      </c>
      <c r="G45" s="21">
        <v>1800</v>
      </c>
      <c r="H45" s="21">
        <v>1800</v>
      </c>
      <c r="I45" s="21">
        <v>1800</v>
      </c>
      <c r="J45" s="21">
        <v>1800</v>
      </c>
      <c r="K45" s="21">
        <f>SUM(E45:J45)</f>
        <v>10800</v>
      </c>
    </row>
    <row r="46" spans="1:11" x14ac:dyDescent="0.25">
      <c r="A46" s="57"/>
      <c r="B46" s="62"/>
      <c r="C46" s="61"/>
      <c r="D46" s="20" t="s">
        <v>27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f>SUM(E46:J46)</f>
        <v>0</v>
      </c>
    </row>
    <row r="47" spans="1:11" x14ac:dyDescent="0.25">
      <c r="A47" s="57" t="s">
        <v>60</v>
      </c>
      <c r="B47" s="58" t="s">
        <v>63</v>
      </c>
      <c r="C47" s="61" t="s">
        <v>23</v>
      </c>
      <c r="D47" s="20" t="s">
        <v>20</v>
      </c>
      <c r="E47" s="21">
        <f t="shared" ref="E47:J47" si="7">E48+E49+E50+E51</f>
        <v>89753.89</v>
      </c>
      <c r="F47" s="21">
        <f t="shared" si="7"/>
        <v>72328.310000000012</v>
      </c>
      <c r="G47" s="21">
        <f t="shared" si="7"/>
        <v>69439.806250000009</v>
      </c>
      <c r="H47" s="21">
        <f t="shared" si="7"/>
        <v>71500.318317550016</v>
      </c>
      <c r="I47" s="21">
        <f t="shared" si="7"/>
        <v>73734.558509969982</v>
      </c>
      <c r="J47" s="21">
        <f t="shared" si="7"/>
        <v>75640.617893976305</v>
      </c>
      <c r="K47" s="21">
        <f>K48+K49+K50+K51</f>
        <v>452397.50097149634</v>
      </c>
    </row>
    <row r="48" spans="1:11" x14ac:dyDescent="0.25">
      <c r="A48" s="57"/>
      <c r="B48" s="59"/>
      <c r="C48" s="61"/>
      <c r="D48" s="20" t="s">
        <v>24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f>SUM(E48:J48)</f>
        <v>0</v>
      </c>
    </row>
    <row r="49" spans="1:11" x14ac:dyDescent="0.25">
      <c r="A49" s="57"/>
      <c r="B49" s="59"/>
      <c r="C49" s="61"/>
      <c r="D49" s="20" t="s">
        <v>25</v>
      </c>
      <c r="E49" s="21">
        <v>2647.3</v>
      </c>
      <c r="F49" s="21">
        <v>2647.3</v>
      </c>
      <c r="G49" s="21">
        <v>0</v>
      </c>
      <c r="H49" s="21">
        <v>0</v>
      </c>
      <c r="I49" s="21">
        <v>0</v>
      </c>
      <c r="J49" s="21">
        <f>I49</f>
        <v>0</v>
      </c>
      <c r="K49" s="21">
        <f>SUM(E49:J49)</f>
        <v>5294.6</v>
      </c>
    </row>
    <row r="50" spans="1:11" x14ac:dyDescent="0.25">
      <c r="A50" s="57"/>
      <c r="B50" s="59"/>
      <c r="C50" s="61"/>
      <c r="D50" s="20" t="s">
        <v>26</v>
      </c>
      <c r="E50" s="34">
        <v>72776.39</v>
      </c>
      <c r="F50" s="34">
        <v>54791.91</v>
      </c>
      <c r="G50" s="34">
        <f>F50*98.5%</f>
        <v>53970.031350000005</v>
      </c>
      <c r="H50" s="34">
        <f>G50*102.7%</f>
        <v>55427.222196450013</v>
      </c>
      <c r="I50" s="34">
        <f>H50*102.9%</f>
        <v>57034.611640147072</v>
      </c>
      <c r="J50" s="34">
        <f>I50*102.2%</f>
        <v>58289.373096230309</v>
      </c>
      <c r="K50" s="34">
        <f>SUM(E50:J50)</f>
        <v>352289.53828282742</v>
      </c>
    </row>
    <row r="51" spans="1:11" x14ac:dyDescent="0.25">
      <c r="A51" s="57"/>
      <c r="B51" s="60"/>
      <c r="C51" s="61"/>
      <c r="D51" s="20" t="s">
        <v>27</v>
      </c>
      <c r="E51" s="21">
        <v>14330.2</v>
      </c>
      <c r="F51" s="21">
        <v>14889.1</v>
      </c>
      <c r="G51" s="21">
        <f>F51*103.9%</f>
        <v>15469.774900000002</v>
      </c>
      <c r="H51" s="21">
        <f>G51*103.9%</f>
        <v>16073.096121100005</v>
      </c>
      <c r="I51" s="21">
        <f>H51*103.9%</f>
        <v>16699.946869822907</v>
      </c>
      <c r="J51" s="21">
        <f>I51*103.9%</f>
        <v>17351.244797746003</v>
      </c>
      <c r="K51" s="21">
        <f>SUM(E51:J51)</f>
        <v>94813.362688668916</v>
      </c>
    </row>
    <row r="52" spans="1:11" x14ac:dyDescent="0.25">
      <c r="A52" s="80" t="s">
        <v>61</v>
      </c>
      <c r="B52" s="58" t="s">
        <v>64</v>
      </c>
      <c r="C52" s="61" t="s">
        <v>23</v>
      </c>
      <c r="D52" s="20" t="s">
        <v>20</v>
      </c>
      <c r="E52" s="21">
        <f t="shared" ref="E52:K52" si="8">E53+E54+E55+E56</f>
        <v>0</v>
      </c>
      <c r="F52" s="21">
        <f t="shared" si="8"/>
        <v>0</v>
      </c>
      <c r="G52" s="21">
        <f t="shared" si="8"/>
        <v>0</v>
      </c>
      <c r="H52" s="21">
        <f t="shared" si="8"/>
        <v>0</v>
      </c>
      <c r="I52" s="21">
        <f t="shared" si="8"/>
        <v>0</v>
      </c>
      <c r="J52" s="21">
        <f t="shared" si="8"/>
        <v>0</v>
      </c>
      <c r="K52" s="21">
        <f t="shared" si="8"/>
        <v>0</v>
      </c>
    </row>
    <row r="53" spans="1:11" x14ac:dyDescent="0.25">
      <c r="A53" s="81"/>
      <c r="B53" s="59"/>
      <c r="C53" s="61"/>
      <c r="D53" s="20" t="s">
        <v>24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f t="shared" ref="K53:K61" si="9">SUM(E53:J53)</f>
        <v>0</v>
      </c>
    </row>
    <row r="54" spans="1:11" x14ac:dyDescent="0.25">
      <c r="A54" s="81"/>
      <c r="B54" s="59"/>
      <c r="C54" s="61"/>
      <c r="D54" s="20" t="s">
        <v>25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f t="shared" si="9"/>
        <v>0</v>
      </c>
    </row>
    <row r="55" spans="1:11" x14ac:dyDescent="0.25">
      <c r="A55" s="81"/>
      <c r="B55" s="59"/>
      <c r="C55" s="61"/>
      <c r="D55" s="20" t="s">
        <v>26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f t="shared" si="9"/>
        <v>0</v>
      </c>
    </row>
    <row r="56" spans="1:11" x14ac:dyDescent="0.25">
      <c r="A56" s="82"/>
      <c r="B56" s="60"/>
      <c r="C56" s="61"/>
      <c r="D56" s="20" t="s">
        <v>27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f t="shared" si="9"/>
        <v>0</v>
      </c>
    </row>
    <row r="57" spans="1:11" x14ac:dyDescent="0.25">
      <c r="A57" s="61"/>
      <c r="B57" s="61"/>
      <c r="C57" s="61" t="s">
        <v>37</v>
      </c>
      <c r="D57" s="19" t="s">
        <v>20</v>
      </c>
      <c r="E57" s="21">
        <f>E12+E17+E22+E27+E32+E37+E42+E47+E52</f>
        <v>234935.89</v>
      </c>
      <c r="F57" s="21">
        <f>F12+F17+F22+F27+F32+F37+F42+F47+F52</f>
        <v>214689.55</v>
      </c>
      <c r="G57" s="21">
        <f t="shared" ref="E57:J61" si="10">G12+G17+G22+G27+G32+G37+G42+G47</f>
        <v>211017.66795000003</v>
      </c>
      <c r="H57" s="21">
        <f>H12+H17+H22+H27+H32+H37+H42+H47+H52</f>
        <v>215854.67335225001</v>
      </c>
      <c r="I57" s="21">
        <f>I12+I17+I22+I27+I32+I37+I42+I47+I52</f>
        <v>221041.9732335899</v>
      </c>
      <c r="J57" s="21">
        <f>J12+J17+J22+J27+J32+J37+J42+J47+J52</f>
        <v>225501.19138722919</v>
      </c>
      <c r="K57" s="21">
        <f t="shared" si="9"/>
        <v>1323040.945923069</v>
      </c>
    </row>
    <row r="58" spans="1:11" x14ac:dyDescent="0.25">
      <c r="A58" s="61"/>
      <c r="B58" s="61"/>
      <c r="C58" s="61"/>
      <c r="D58" s="19" t="s">
        <v>24</v>
      </c>
      <c r="E58" s="21">
        <f t="shared" si="10"/>
        <v>0</v>
      </c>
      <c r="F58" s="21">
        <f t="shared" si="10"/>
        <v>0</v>
      </c>
      <c r="G58" s="21">
        <f t="shared" si="10"/>
        <v>0</v>
      </c>
      <c r="H58" s="21">
        <f t="shared" si="10"/>
        <v>0</v>
      </c>
      <c r="I58" s="21">
        <f t="shared" si="10"/>
        <v>0</v>
      </c>
      <c r="J58" s="21">
        <f t="shared" si="10"/>
        <v>0</v>
      </c>
      <c r="K58" s="21">
        <f t="shared" si="9"/>
        <v>0</v>
      </c>
    </row>
    <row r="59" spans="1:11" x14ac:dyDescent="0.25">
      <c r="A59" s="61"/>
      <c r="B59" s="61"/>
      <c r="C59" s="61"/>
      <c r="D59" s="19" t="s">
        <v>25</v>
      </c>
      <c r="E59" s="21">
        <f t="shared" si="10"/>
        <v>4304.3999999999996</v>
      </c>
      <c r="F59" s="21">
        <f t="shared" si="10"/>
        <v>4304.3999999999996</v>
      </c>
      <c r="G59" s="21">
        <f t="shared" si="10"/>
        <v>0</v>
      </c>
      <c r="H59" s="21">
        <f t="shared" si="10"/>
        <v>0</v>
      </c>
      <c r="I59" s="21">
        <f t="shared" si="10"/>
        <v>0</v>
      </c>
      <c r="J59" s="21">
        <f t="shared" si="10"/>
        <v>0</v>
      </c>
      <c r="K59" s="21">
        <f t="shared" si="9"/>
        <v>8608.7999999999993</v>
      </c>
    </row>
    <row r="60" spans="1:11" x14ac:dyDescent="0.25">
      <c r="A60" s="61"/>
      <c r="B60" s="61"/>
      <c r="C60" s="61"/>
      <c r="D60" s="19" t="s">
        <v>26</v>
      </c>
      <c r="E60" s="21">
        <f t="shared" ref="E60:J60" si="11">E15+E20+E25+E55+E30+E35+E40+E45+E50</f>
        <v>140613.89000000001</v>
      </c>
      <c r="F60" s="21">
        <f t="shared" si="11"/>
        <v>118713.45</v>
      </c>
      <c r="G60" s="21">
        <f t="shared" si="11"/>
        <v>117664.07625</v>
      </c>
      <c r="H60" s="21">
        <f t="shared" si="11"/>
        <v>120792.40630875001</v>
      </c>
      <c r="I60" s="21">
        <f t="shared" si="11"/>
        <v>124243.1860917038</v>
      </c>
      <c r="J60" s="21">
        <f t="shared" si="11"/>
        <v>126936.93618572129</v>
      </c>
      <c r="K60" s="21">
        <f t="shared" si="9"/>
        <v>748963.94483617519</v>
      </c>
    </row>
    <row r="61" spans="1:11" x14ac:dyDescent="0.25">
      <c r="A61" s="61"/>
      <c r="B61" s="61"/>
      <c r="C61" s="61"/>
      <c r="D61" s="19" t="s">
        <v>27</v>
      </c>
      <c r="E61" s="21">
        <f t="shared" si="10"/>
        <v>90017.599999999991</v>
      </c>
      <c r="F61" s="21">
        <f t="shared" si="10"/>
        <v>91671.700000000012</v>
      </c>
      <c r="G61" s="21">
        <f t="shared" si="10"/>
        <v>93353.591700000004</v>
      </c>
      <c r="H61" s="21">
        <f t="shared" si="10"/>
        <v>95062.267043500004</v>
      </c>
      <c r="I61" s="21">
        <f t="shared" si="10"/>
        <v>96798.787141886103</v>
      </c>
      <c r="J61" s="21">
        <f t="shared" si="10"/>
        <v>98564.255201507913</v>
      </c>
      <c r="K61" s="21">
        <f t="shared" si="9"/>
        <v>565468.20108689403</v>
      </c>
    </row>
    <row r="63" spans="1:11" ht="16.5" x14ac:dyDescent="0.25">
      <c r="A63" s="83" t="s">
        <v>51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6.5" x14ac:dyDescent="0.25">
      <c r="A64" s="30" t="s">
        <v>52</v>
      </c>
      <c r="B64" s="31"/>
      <c r="C64" s="31"/>
      <c r="D64" s="31"/>
      <c r="E64" s="31"/>
      <c r="F64" s="31"/>
      <c r="G64" s="31"/>
      <c r="H64" s="32"/>
      <c r="I64" s="32"/>
      <c r="J64" s="33"/>
      <c r="K64" s="33"/>
    </row>
    <row r="65" spans="1:11" ht="16.5" x14ac:dyDescent="0.25">
      <c r="A65" s="30" t="s">
        <v>53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ht="16.5" x14ac:dyDescent="0.25">
      <c r="A66" s="30" t="s">
        <v>54</v>
      </c>
      <c r="B66" s="31"/>
      <c r="C66" s="31"/>
      <c r="D66" s="31"/>
      <c r="E66" s="31"/>
      <c r="F66" s="31"/>
      <c r="G66" s="31"/>
      <c r="H66" s="31"/>
      <c r="I66" s="31"/>
      <c r="J66" s="31"/>
      <c r="K66" s="33"/>
    </row>
    <row r="67" spans="1:11" ht="16.5" x14ac:dyDescent="0.25">
      <c r="A67" s="30" t="s">
        <v>55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</row>
  </sheetData>
  <mergeCells count="37">
    <mergeCell ref="C12:C16"/>
    <mergeCell ref="A17:A21"/>
    <mergeCell ref="B17:B21"/>
    <mergeCell ref="C17:C21"/>
    <mergeCell ref="A22:A26"/>
    <mergeCell ref="B22:B26"/>
    <mergeCell ref="C22:C26"/>
    <mergeCell ref="A63:K63"/>
    <mergeCell ref="A5:K5"/>
    <mergeCell ref="A6:K6"/>
    <mergeCell ref="A8:A10"/>
    <mergeCell ref="B8:B10"/>
    <mergeCell ref="C8:C10"/>
    <mergeCell ref="D8:D10"/>
    <mergeCell ref="E8:K9"/>
    <mergeCell ref="A12:A16"/>
    <mergeCell ref="B12:B16"/>
    <mergeCell ref="A27:A31"/>
    <mergeCell ref="B27:B31"/>
    <mergeCell ref="C27:C31"/>
    <mergeCell ref="A32:A36"/>
    <mergeCell ref="B32:B36"/>
    <mergeCell ref="C32:C36"/>
    <mergeCell ref="A37:A41"/>
    <mergeCell ref="B37:B41"/>
    <mergeCell ref="C37:C41"/>
    <mergeCell ref="A42:A46"/>
    <mergeCell ref="B42:B46"/>
    <mergeCell ref="C42:C46"/>
    <mergeCell ref="A47:A51"/>
    <mergeCell ref="B47:B51"/>
    <mergeCell ref="C47:C51"/>
    <mergeCell ref="A57:B61"/>
    <mergeCell ref="C57:C61"/>
    <mergeCell ref="A52:A56"/>
    <mergeCell ref="B52:B56"/>
    <mergeCell ref="C52:C56"/>
  </mergeCells>
  <pageMargins left="0.51181102362204722" right="0.31496062992125984" top="0.55118110236220474" bottom="0.19685039370078741" header="0" footer="0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showWhiteSpace="0" view="pageBreakPreview" zoomScaleNormal="100" zoomScaleSheetLayoutView="100" workbookViewId="0">
      <selection activeCell="F67" sqref="F67"/>
    </sheetView>
  </sheetViews>
  <sheetFormatPr defaultRowHeight="15" x14ac:dyDescent="0.25"/>
  <cols>
    <col min="1" max="1" width="7.140625" style="35" customWidth="1"/>
    <col min="2" max="2" width="48.42578125" style="35" customWidth="1"/>
    <col min="3" max="3" width="16.42578125" style="35" customWidth="1"/>
    <col min="4" max="4" width="13.7109375" style="35" customWidth="1"/>
    <col min="5" max="5" width="12.42578125" style="35" customWidth="1"/>
    <col min="6" max="10" width="12.28515625" style="35" customWidth="1"/>
    <col min="11" max="11" width="13.5703125" style="35" customWidth="1"/>
    <col min="12" max="12" width="11.7109375" style="35" bestFit="1" customWidth="1"/>
    <col min="13" max="16384" width="9.140625" style="35"/>
  </cols>
  <sheetData>
    <row r="1" spans="1:13" x14ac:dyDescent="0.25">
      <c r="I1" s="108" t="s">
        <v>103</v>
      </c>
      <c r="J1" s="108"/>
      <c r="K1" s="108"/>
    </row>
    <row r="2" spans="1:13" ht="12" customHeight="1" x14ac:dyDescent="0.25">
      <c r="I2" s="108"/>
      <c r="J2" s="108"/>
      <c r="K2" s="108"/>
    </row>
    <row r="3" spans="1:13" x14ac:dyDescent="0.25">
      <c r="I3" s="108"/>
      <c r="J3" s="108"/>
      <c r="K3" s="108"/>
    </row>
    <row r="4" spans="1:13" x14ac:dyDescent="0.25">
      <c r="I4" s="108"/>
      <c r="J4" s="108"/>
      <c r="K4" s="108"/>
    </row>
    <row r="5" spans="1:13" ht="19.5" customHeight="1" x14ac:dyDescent="0.25">
      <c r="B5" s="44"/>
      <c r="C5" s="44"/>
      <c r="D5" s="44"/>
      <c r="E5" s="39"/>
      <c r="G5" s="51"/>
      <c r="H5" s="51"/>
      <c r="I5" s="109" t="s">
        <v>100</v>
      </c>
      <c r="J5" s="109"/>
      <c r="K5" s="109"/>
    </row>
    <row r="6" spans="1:13" x14ac:dyDescent="0.25">
      <c r="B6" s="45"/>
      <c r="C6" s="45"/>
      <c r="D6" s="45"/>
      <c r="E6" s="39"/>
      <c r="G6" s="52"/>
      <c r="H6" s="52"/>
      <c r="I6" s="97" t="s">
        <v>67</v>
      </c>
      <c r="J6" s="97"/>
      <c r="K6" s="97"/>
    </row>
    <row r="7" spans="1:13" x14ac:dyDescent="0.25">
      <c r="B7" s="46"/>
      <c r="C7" s="47"/>
      <c r="D7" s="47"/>
      <c r="E7" s="39"/>
      <c r="G7" s="52"/>
      <c r="H7" s="52"/>
      <c r="I7" s="97" t="s">
        <v>68</v>
      </c>
      <c r="J7" s="97"/>
      <c r="K7" s="97"/>
    </row>
    <row r="8" spans="1:13" x14ac:dyDescent="0.25">
      <c r="B8" s="46"/>
      <c r="C8" s="47"/>
      <c r="D8" s="47"/>
      <c r="E8" s="41"/>
      <c r="F8" s="41"/>
      <c r="G8" s="41"/>
      <c r="H8" s="41"/>
      <c r="I8" s="41"/>
      <c r="J8" s="41"/>
      <c r="K8" s="40"/>
    </row>
    <row r="9" spans="1:13" x14ac:dyDescent="0.25">
      <c r="A9" s="98" t="s">
        <v>72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3" x14ac:dyDescent="0.25">
      <c r="A10" s="48"/>
      <c r="B10" s="42"/>
      <c r="C10" s="42"/>
      <c r="D10" s="42"/>
      <c r="E10" s="26"/>
      <c r="F10" s="26"/>
      <c r="G10" s="26"/>
      <c r="H10" s="26"/>
      <c r="I10" s="26"/>
      <c r="J10" s="26"/>
      <c r="K10" s="42"/>
    </row>
    <row r="11" spans="1:13" ht="16.5" customHeight="1" x14ac:dyDescent="0.25">
      <c r="A11" s="86" t="s">
        <v>7</v>
      </c>
      <c r="B11" s="86" t="s">
        <v>73</v>
      </c>
      <c r="C11" s="86" t="s">
        <v>74</v>
      </c>
      <c r="D11" s="86" t="s">
        <v>75</v>
      </c>
      <c r="E11" s="99" t="s">
        <v>19</v>
      </c>
      <c r="F11" s="100"/>
      <c r="G11" s="100"/>
      <c r="H11" s="100"/>
      <c r="I11" s="100"/>
      <c r="J11" s="100"/>
      <c r="K11" s="101"/>
    </row>
    <row r="12" spans="1:13" ht="17.25" customHeight="1" x14ac:dyDescent="0.25">
      <c r="A12" s="86"/>
      <c r="B12" s="86"/>
      <c r="C12" s="86"/>
      <c r="D12" s="86"/>
      <c r="E12" s="102"/>
      <c r="F12" s="102"/>
      <c r="G12" s="102"/>
      <c r="H12" s="102"/>
      <c r="I12" s="102"/>
      <c r="J12" s="102"/>
      <c r="K12" s="103"/>
    </row>
    <row r="13" spans="1:13" ht="60.75" customHeight="1" x14ac:dyDescent="0.25">
      <c r="A13" s="86"/>
      <c r="B13" s="86"/>
      <c r="C13" s="86"/>
      <c r="D13" s="86"/>
      <c r="E13" s="20" t="s">
        <v>6</v>
      </c>
      <c r="F13" s="20" t="s">
        <v>70</v>
      </c>
      <c r="G13" s="20" t="s">
        <v>71</v>
      </c>
      <c r="H13" s="20" t="s">
        <v>76</v>
      </c>
      <c r="I13" s="20" t="s">
        <v>77</v>
      </c>
      <c r="J13" s="20" t="s">
        <v>78</v>
      </c>
      <c r="K13" s="20" t="s">
        <v>20</v>
      </c>
    </row>
    <row r="14" spans="1:13" ht="12" customHeight="1" x14ac:dyDescent="0.25">
      <c r="A14" s="36">
        <v>1</v>
      </c>
      <c r="B14" s="36">
        <v>2</v>
      </c>
      <c r="C14" s="36">
        <v>3</v>
      </c>
      <c r="D14" s="36">
        <v>4</v>
      </c>
      <c r="E14" s="36">
        <v>5</v>
      </c>
      <c r="F14" s="36">
        <v>6</v>
      </c>
      <c r="G14" s="36">
        <v>7</v>
      </c>
      <c r="H14" s="36">
        <v>8</v>
      </c>
      <c r="I14" s="36">
        <v>9</v>
      </c>
      <c r="J14" s="36">
        <v>10</v>
      </c>
      <c r="K14" s="36">
        <v>11</v>
      </c>
    </row>
    <row r="15" spans="1:13" ht="14.25" customHeight="1" x14ac:dyDescent="0.25">
      <c r="A15" s="106"/>
      <c r="B15" s="92" t="s">
        <v>90</v>
      </c>
      <c r="C15" s="87" t="s">
        <v>95</v>
      </c>
      <c r="D15" s="20" t="s">
        <v>20</v>
      </c>
      <c r="E15" s="21">
        <f t="shared" ref="E15:K15" si="0">E16+E17+E18</f>
        <v>794195.60000000009</v>
      </c>
      <c r="F15" s="21">
        <f t="shared" si="0"/>
        <v>426685.5</v>
      </c>
      <c r="G15" s="21">
        <f t="shared" si="0"/>
        <v>405280.5</v>
      </c>
      <c r="H15" s="21">
        <f t="shared" si="0"/>
        <v>368970.5</v>
      </c>
      <c r="I15" s="21">
        <f t="shared" si="0"/>
        <v>392411.6</v>
      </c>
      <c r="J15" s="21">
        <f t="shared" si="0"/>
        <v>392411.6</v>
      </c>
      <c r="K15" s="21">
        <f t="shared" si="0"/>
        <v>2779955.3</v>
      </c>
      <c r="L15" s="54"/>
      <c r="M15" s="55"/>
    </row>
    <row r="16" spans="1:13" ht="14.25" customHeight="1" x14ac:dyDescent="0.25">
      <c r="A16" s="106"/>
      <c r="B16" s="104"/>
      <c r="C16" s="88"/>
      <c r="D16" s="20" t="s">
        <v>91</v>
      </c>
      <c r="E16" s="21">
        <f>E28+E44+E48+E56+E60+E64+E76+E40+E72+E84+E68+E32</f>
        <v>415859.10000000003</v>
      </c>
      <c r="F16" s="21">
        <f t="shared" ref="F16:K16" si="1">F28+F44+F48+F56+F60+F64+F76+F40+F72+F84+F68+F32</f>
        <v>90717.8</v>
      </c>
      <c r="G16" s="21">
        <f t="shared" si="1"/>
        <v>114159.7</v>
      </c>
      <c r="H16" s="21">
        <f t="shared" si="1"/>
        <v>114159.7</v>
      </c>
      <c r="I16" s="21">
        <f t="shared" si="1"/>
        <v>0</v>
      </c>
      <c r="J16" s="21">
        <f t="shared" si="1"/>
        <v>0</v>
      </c>
      <c r="K16" s="21">
        <f t="shared" si="1"/>
        <v>734896.3</v>
      </c>
    </row>
    <row r="17" spans="1:11" ht="14.25" customHeight="1" x14ac:dyDescent="0.25">
      <c r="A17" s="106"/>
      <c r="B17" s="104"/>
      <c r="C17" s="88"/>
      <c r="D17" s="20" t="s">
        <v>26</v>
      </c>
      <c r="E17" s="21">
        <f>E29+E45+E49+E57+E61+E65+E77+E41+E73+E85+E69+E33</f>
        <v>247781.5</v>
      </c>
      <c r="F17" s="21">
        <f t="shared" ref="F17:K17" si="2">F29+F45+F49+F57+F61+F65+F77+F41+F73+F85+F69+F33</f>
        <v>205412.7</v>
      </c>
      <c r="G17" s="21">
        <f t="shared" si="2"/>
        <v>160565.80000000002</v>
      </c>
      <c r="H17" s="21">
        <f t="shared" si="2"/>
        <v>124255.80000000002</v>
      </c>
      <c r="I17" s="21">
        <f t="shared" si="2"/>
        <v>261856.6</v>
      </c>
      <c r="J17" s="21">
        <f t="shared" si="2"/>
        <v>261856.6</v>
      </c>
      <c r="K17" s="21">
        <f t="shared" si="2"/>
        <v>1261729</v>
      </c>
    </row>
    <row r="18" spans="1:11" ht="14.25" customHeight="1" x14ac:dyDescent="0.25">
      <c r="A18" s="106"/>
      <c r="B18" s="104"/>
      <c r="C18" s="89"/>
      <c r="D18" s="20" t="s">
        <v>27</v>
      </c>
      <c r="E18" s="21">
        <f>E30+E46+E50+E58+E62+E66+E78+E42+E74+E86+E70+E34</f>
        <v>130555</v>
      </c>
      <c r="F18" s="21">
        <f t="shared" ref="F18:K18" si="3">F30+F46+F50+F58+F62+F66+F78+F42+F74+F86+F70+F34</f>
        <v>130555</v>
      </c>
      <c r="G18" s="21">
        <f t="shared" si="3"/>
        <v>130555</v>
      </c>
      <c r="H18" s="21">
        <f t="shared" si="3"/>
        <v>130555</v>
      </c>
      <c r="I18" s="21">
        <f t="shared" si="3"/>
        <v>130555</v>
      </c>
      <c r="J18" s="21">
        <f t="shared" si="3"/>
        <v>130555</v>
      </c>
      <c r="K18" s="21">
        <f t="shared" si="3"/>
        <v>783330</v>
      </c>
    </row>
    <row r="19" spans="1:11" ht="14.25" customHeight="1" x14ac:dyDescent="0.25">
      <c r="A19" s="106"/>
      <c r="B19" s="104"/>
      <c r="C19" s="87" t="s">
        <v>99</v>
      </c>
      <c r="D19" s="20" t="s">
        <v>20</v>
      </c>
      <c r="E19" s="21">
        <f>E20+E21+E22</f>
        <v>545100.52061000001</v>
      </c>
      <c r="F19" s="21">
        <f t="shared" ref="F19:K19" si="4">F20+F21+F22</f>
        <v>126339.561</v>
      </c>
      <c r="G19" s="21">
        <f t="shared" si="4"/>
        <v>0</v>
      </c>
      <c r="H19" s="21">
        <f t="shared" si="4"/>
        <v>0</v>
      </c>
      <c r="I19" s="21">
        <f t="shared" si="4"/>
        <v>0</v>
      </c>
      <c r="J19" s="21">
        <f t="shared" si="4"/>
        <v>0</v>
      </c>
      <c r="K19" s="21">
        <f t="shared" si="4"/>
        <v>671440.08160999999</v>
      </c>
    </row>
    <row r="20" spans="1:11" ht="14.25" customHeight="1" x14ac:dyDescent="0.25">
      <c r="A20" s="106"/>
      <c r="B20" s="104"/>
      <c r="C20" s="88"/>
      <c r="D20" s="20" t="s">
        <v>91</v>
      </c>
      <c r="E20" s="21">
        <f>E36</f>
        <v>489747.06396</v>
      </c>
      <c r="F20" s="21">
        <f t="shared" ref="F20:K20" si="5">F36+F52+F80</f>
        <v>113469.3</v>
      </c>
      <c r="G20" s="21">
        <f t="shared" si="5"/>
        <v>0</v>
      </c>
      <c r="H20" s="21">
        <f t="shared" si="5"/>
        <v>0</v>
      </c>
      <c r="I20" s="21">
        <f t="shared" si="5"/>
        <v>0</v>
      </c>
      <c r="J20" s="21">
        <f t="shared" si="5"/>
        <v>0</v>
      </c>
      <c r="K20" s="21">
        <f t="shared" si="5"/>
        <v>603216.36395999999</v>
      </c>
    </row>
    <row r="21" spans="1:11" ht="14.25" customHeight="1" x14ac:dyDescent="0.25">
      <c r="A21" s="106"/>
      <c r="B21" s="104"/>
      <c r="C21" s="88"/>
      <c r="D21" s="20" t="s">
        <v>26</v>
      </c>
      <c r="E21" s="21">
        <f>E37</f>
        <v>55353.45665</v>
      </c>
      <c r="F21" s="21">
        <f t="shared" ref="F21:K22" si="6">F37+F53+F81</f>
        <v>12870.261000000002</v>
      </c>
      <c r="G21" s="21">
        <f t="shared" si="6"/>
        <v>0</v>
      </c>
      <c r="H21" s="21">
        <f t="shared" si="6"/>
        <v>0</v>
      </c>
      <c r="I21" s="21">
        <f t="shared" si="6"/>
        <v>0</v>
      </c>
      <c r="J21" s="21">
        <f t="shared" si="6"/>
        <v>0</v>
      </c>
      <c r="K21" s="21">
        <f t="shared" si="6"/>
        <v>68223.717650000006</v>
      </c>
    </row>
    <row r="22" spans="1:11" ht="14.25" customHeight="1" x14ac:dyDescent="0.25">
      <c r="A22" s="106"/>
      <c r="B22" s="104"/>
      <c r="C22" s="89"/>
      <c r="D22" s="20" t="s">
        <v>27</v>
      </c>
      <c r="E22" s="21">
        <f>E38</f>
        <v>0</v>
      </c>
      <c r="F22" s="21">
        <f t="shared" si="6"/>
        <v>0</v>
      </c>
      <c r="G22" s="21">
        <f t="shared" si="6"/>
        <v>0</v>
      </c>
      <c r="H22" s="21">
        <f t="shared" si="6"/>
        <v>0</v>
      </c>
      <c r="I22" s="21">
        <f t="shared" si="6"/>
        <v>0</v>
      </c>
      <c r="J22" s="21">
        <f t="shared" si="6"/>
        <v>0</v>
      </c>
      <c r="K22" s="21">
        <f t="shared" si="6"/>
        <v>0</v>
      </c>
    </row>
    <row r="23" spans="1:11" ht="14.25" customHeight="1" x14ac:dyDescent="0.25">
      <c r="A23" s="106"/>
      <c r="B23" s="104"/>
      <c r="C23" s="96" t="s">
        <v>37</v>
      </c>
      <c r="D23" s="20" t="s">
        <v>20</v>
      </c>
      <c r="E23" s="21">
        <f>E15+E19</f>
        <v>1339296.1206100001</v>
      </c>
      <c r="F23" s="21">
        <f t="shared" ref="F23:K23" si="7">F15+F19</f>
        <v>553025.06099999999</v>
      </c>
      <c r="G23" s="21">
        <f t="shared" si="7"/>
        <v>405280.5</v>
      </c>
      <c r="H23" s="21">
        <f t="shared" si="7"/>
        <v>368970.5</v>
      </c>
      <c r="I23" s="21">
        <f t="shared" si="7"/>
        <v>392411.6</v>
      </c>
      <c r="J23" s="21">
        <f t="shared" si="7"/>
        <v>392411.6</v>
      </c>
      <c r="K23" s="21">
        <f t="shared" si="7"/>
        <v>3451395.3816099996</v>
      </c>
    </row>
    <row r="24" spans="1:11" ht="14.25" customHeight="1" x14ac:dyDescent="0.25">
      <c r="A24" s="106"/>
      <c r="B24" s="104"/>
      <c r="C24" s="94"/>
      <c r="D24" s="20" t="s">
        <v>91</v>
      </c>
      <c r="E24" s="21">
        <f>E16+E20</f>
        <v>905606.16396000003</v>
      </c>
      <c r="F24" s="21">
        <f t="shared" ref="F24:K24" si="8">F16+F20</f>
        <v>204187.1</v>
      </c>
      <c r="G24" s="21">
        <f t="shared" si="8"/>
        <v>114159.7</v>
      </c>
      <c r="H24" s="21">
        <f t="shared" si="8"/>
        <v>114159.7</v>
      </c>
      <c r="I24" s="21">
        <f t="shared" si="8"/>
        <v>0</v>
      </c>
      <c r="J24" s="21">
        <f t="shared" si="8"/>
        <v>0</v>
      </c>
      <c r="K24" s="21">
        <f t="shared" si="8"/>
        <v>1338112.66396</v>
      </c>
    </row>
    <row r="25" spans="1:11" ht="14.25" customHeight="1" x14ac:dyDescent="0.25">
      <c r="A25" s="106"/>
      <c r="B25" s="104"/>
      <c r="C25" s="94"/>
      <c r="D25" s="20" t="s">
        <v>26</v>
      </c>
      <c r="E25" s="21">
        <f>E17+E21</f>
        <v>303134.95665000001</v>
      </c>
      <c r="F25" s="21">
        <f t="shared" ref="F25:K25" si="9">F17+F21</f>
        <v>218282.96100000001</v>
      </c>
      <c r="G25" s="21">
        <f t="shared" si="9"/>
        <v>160565.80000000002</v>
      </c>
      <c r="H25" s="21">
        <f t="shared" si="9"/>
        <v>124255.80000000002</v>
      </c>
      <c r="I25" s="21">
        <f t="shared" si="9"/>
        <v>261856.6</v>
      </c>
      <c r="J25" s="21">
        <f t="shared" si="9"/>
        <v>261856.6</v>
      </c>
      <c r="K25" s="21">
        <f t="shared" si="9"/>
        <v>1329952.71765</v>
      </c>
    </row>
    <row r="26" spans="1:11" ht="14.25" customHeight="1" x14ac:dyDescent="0.25">
      <c r="A26" s="107"/>
      <c r="B26" s="105"/>
      <c r="C26" s="95"/>
      <c r="D26" s="20" t="s">
        <v>27</v>
      </c>
      <c r="E26" s="21">
        <f>E18+E22</f>
        <v>130555</v>
      </c>
      <c r="F26" s="21">
        <f t="shared" ref="F26:K26" si="10">F18+F22</f>
        <v>130555</v>
      </c>
      <c r="G26" s="21">
        <f t="shared" si="10"/>
        <v>130555</v>
      </c>
      <c r="H26" s="21">
        <f t="shared" si="10"/>
        <v>130555</v>
      </c>
      <c r="I26" s="21">
        <f t="shared" si="10"/>
        <v>130555</v>
      </c>
      <c r="J26" s="21">
        <f t="shared" si="10"/>
        <v>130555</v>
      </c>
      <c r="K26" s="21">
        <f t="shared" si="10"/>
        <v>783330</v>
      </c>
    </row>
    <row r="27" spans="1:11" ht="15" customHeight="1" x14ac:dyDescent="0.25">
      <c r="A27" s="80" t="s">
        <v>84</v>
      </c>
      <c r="B27" s="92" t="s">
        <v>105</v>
      </c>
      <c r="C27" s="87" t="s">
        <v>95</v>
      </c>
      <c r="D27" s="20" t="s">
        <v>20</v>
      </c>
      <c r="E27" s="21">
        <f>E28+E29+E30</f>
        <v>18733.099999999999</v>
      </c>
      <c r="F27" s="21">
        <f t="shared" ref="F27:K27" si="11">F28+F29+F30</f>
        <v>0</v>
      </c>
      <c r="G27" s="21">
        <f t="shared" si="11"/>
        <v>0</v>
      </c>
      <c r="H27" s="21">
        <f t="shared" si="11"/>
        <v>0</v>
      </c>
      <c r="I27" s="21">
        <f t="shared" si="11"/>
        <v>0</v>
      </c>
      <c r="J27" s="21">
        <f t="shared" si="11"/>
        <v>0</v>
      </c>
      <c r="K27" s="21">
        <f t="shared" si="11"/>
        <v>18733.099999999999</v>
      </c>
    </row>
    <row r="28" spans="1:11" ht="15" customHeight="1" x14ac:dyDescent="0.25">
      <c r="A28" s="81"/>
      <c r="B28" s="59"/>
      <c r="C28" s="94"/>
      <c r="D28" s="20" t="s">
        <v>91</v>
      </c>
      <c r="E28" s="21">
        <f>7605.4+2700+470</f>
        <v>10775.4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f>SUM(E28:J28)</f>
        <v>10775.4</v>
      </c>
    </row>
    <row r="29" spans="1:11" ht="15" customHeight="1" x14ac:dyDescent="0.25">
      <c r="A29" s="81"/>
      <c r="B29" s="59"/>
      <c r="C29" s="94"/>
      <c r="D29" s="20" t="s">
        <v>26</v>
      </c>
      <c r="E29" s="21">
        <f>7605.4+300+52.3</f>
        <v>7957.7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f>SUM(E29:J29)</f>
        <v>7957.7</v>
      </c>
    </row>
    <row r="30" spans="1:11" ht="15" customHeight="1" x14ac:dyDescent="0.25">
      <c r="A30" s="82"/>
      <c r="B30" s="60"/>
      <c r="C30" s="95"/>
      <c r="D30" s="20" t="s">
        <v>27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f>SUM(E30:J30)</f>
        <v>0</v>
      </c>
    </row>
    <row r="31" spans="1:11" ht="15" customHeight="1" x14ac:dyDescent="0.25">
      <c r="A31" s="80" t="s">
        <v>85</v>
      </c>
      <c r="B31" s="92" t="s">
        <v>104</v>
      </c>
      <c r="C31" s="87" t="s">
        <v>95</v>
      </c>
      <c r="D31" s="20" t="s">
        <v>20</v>
      </c>
      <c r="E31" s="21">
        <f>E32+E33+E34</f>
        <v>280208.60000000003</v>
      </c>
      <c r="F31" s="21">
        <f t="shared" ref="F31:K31" si="12">F32+F33+F34</f>
        <v>0</v>
      </c>
      <c r="G31" s="21">
        <f t="shared" si="12"/>
        <v>0</v>
      </c>
      <c r="H31" s="21">
        <f t="shared" si="12"/>
        <v>0</v>
      </c>
      <c r="I31" s="21">
        <f t="shared" si="12"/>
        <v>0</v>
      </c>
      <c r="J31" s="21">
        <f t="shared" si="12"/>
        <v>0</v>
      </c>
      <c r="K31" s="21">
        <f t="shared" si="12"/>
        <v>280208.60000000003</v>
      </c>
    </row>
    <row r="32" spans="1:11" ht="15" customHeight="1" x14ac:dyDescent="0.25">
      <c r="A32" s="81"/>
      <c r="B32" s="104"/>
      <c r="C32" s="94"/>
      <c r="D32" s="20" t="s">
        <v>91</v>
      </c>
      <c r="E32" s="21">
        <v>268401.90000000002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SUM(E32:J32)</f>
        <v>268401.90000000002</v>
      </c>
    </row>
    <row r="33" spans="1:11" ht="15" customHeight="1" x14ac:dyDescent="0.25">
      <c r="A33" s="81"/>
      <c r="B33" s="104"/>
      <c r="C33" s="94"/>
      <c r="D33" s="20" t="s">
        <v>26</v>
      </c>
      <c r="E33" s="21">
        <v>11806.7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f>SUM(E33:J33)</f>
        <v>11806.7</v>
      </c>
    </row>
    <row r="34" spans="1:11" ht="15" customHeight="1" x14ac:dyDescent="0.25">
      <c r="A34" s="81"/>
      <c r="B34" s="104"/>
      <c r="C34" s="95"/>
      <c r="D34" s="20" t="s">
        <v>27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f>SUM(E34:J34)</f>
        <v>0</v>
      </c>
    </row>
    <row r="35" spans="1:11" ht="18" customHeight="1" x14ac:dyDescent="0.25">
      <c r="A35" s="81"/>
      <c r="B35" s="104"/>
      <c r="C35" s="87" t="s">
        <v>99</v>
      </c>
      <c r="D35" s="20" t="s">
        <v>20</v>
      </c>
      <c r="E35" s="21">
        <f>E36+E37+E38</f>
        <v>545100.52061000001</v>
      </c>
      <c r="F35" s="21">
        <f t="shared" ref="F35:K35" si="13">F36+F37+F38</f>
        <v>126339.561</v>
      </c>
      <c r="G35" s="21">
        <f t="shared" si="13"/>
        <v>0</v>
      </c>
      <c r="H35" s="21">
        <f t="shared" si="13"/>
        <v>0</v>
      </c>
      <c r="I35" s="21">
        <f t="shared" si="13"/>
        <v>0</v>
      </c>
      <c r="J35" s="21">
        <f t="shared" si="13"/>
        <v>0</v>
      </c>
      <c r="K35" s="21">
        <f t="shared" si="13"/>
        <v>671440.08160999999</v>
      </c>
    </row>
    <row r="36" spans="1:11" ht="15" customHeight="1" x14ac:dyDescent="0.25">
      <c r="A36" s="81"/>
      <c r="B36" s="104"/>
      <c r="C36" s="88"/>
      <c r="D36" s="20" t="s">
        <v>91</v>
      </c>
      <c r="E36" s="53">
        <v>489747.06396</v>
      </c>
      <c r="F36" s="21">
        <f>14953.7+98515.6</f>
        <v>113469.3</v>
      </c>
      <c r="G36" s="21">
        <v>0</v>
      </c>
      <c r="H36" s="21">
        <v>0</v>
      </c>
      <c r="I36" s="21">
        <v>0</v>
      </c>
      <c r="J36" s="21">
        <v>0</v>
      </c>
      <c r="K36" s="21">
        <f>SUM(E36:J36)</f>
        <v>603216.36395999999</v>
      </c>
    </row>
    <row r="37" spans="1:11" ht="15" customHeight="1" x14ac:dyDescent="0.25">
      <c r="A37" s="81"/>
      <c r="B37" s="104"/>
      <c r="C37" s="88"/>
      <c r="D37" s="20" t="s">
        <v>26</v>
      </c>
      <c r="E37" s="53">
        <v>55353.45665</v>
      </c>
      <c r="F37" s="21">
        <f>1661.6+10946.2+259.2+3.261</f>
        <v>12870.261000000002</v>
      </c>
      <c r="G37" s="21">
        <v>0</v>
      </c>
      <c r="H37" s="21">
        <v>0</v>
      </c>
      <c r="I37" s="21">
        <v>0</v>
      </c>
      <c r="J37" s="21">
        <v>0</v>
      </c>
      <c r="K37" s="21">
        <f>SUM(E37:J37)</f>
        <v>68223.717650000006</v>
      </c>
    </row>
    <row r="38" spans="1:11" ht="15" customHeight="1" x14ac:dyDescent="0.25">
      <c r="A38" s="82"/>
      <c r="B38" s="105"/>
      <c r="C38" s="89"/>
      <c r="D38" s="20" t="s">
        <v>27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f>SUM(E38:J38)</f>
        <v>0</v>
      </c>
    </row>
    <row r="39" spans="1:11" ht="15" customHeight="1" x14ac:dyDescent="0.25">
      <c r="A39" s="93" t="s">
        <v>86</v>
      </c>
      <c r="B39" s="92" t="s">
        <v>106</v>
      </c>
      <c r="C39" s="87" t="s">
        <v>95</v>
      </c>
      <c r="D39" s="20" t="s">
        <v>20</v>
      </c>
      <c r="E39" s="21">
        <f>E40+E41+E42</f>
        <v>2229.6999999999998</v>
      </c>
      <c r="F39" s="21">
        <f t="shared" ref="F39:K39" si="14">F40+F41+F42</f>
        <v>0</v>
      </c>
      <c r="G39" s="21">
        <f t="shared" si="14"/>
        <v>0</v>
      </c>
      <c r="H39" s="21">
        <f t="shared" si="14"/>
        <v>0</v>
      </c>
      <c r="I39" s="21">
        <f t="shared" si="14"/>
        <v>0</v>
      </c>
      <c r="J39" s="21">
        <f t="shared" si="14"/>
        <v>0</v>
      </c>
      <c r="K39" s="21">
        <f t="shared" si="14"/>
        <v>2229.6999999999998</v>
      </c>
    </row>
    <row r="40" spans="1:11" ht="15" customHeight="1" x14ac:dyDescent="0.25">
      <c r="A40" s="81"/>
      <c r="B40" s="59"/>
      <c r="C40" s="88"/>
      <c r="D40" s="20" t="s">
        <v>91</v>
      </c>
      <c r="E40" s="21">
        <v>2114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f>SUM(E40:J40)</f>
        <v>2114</v>
      </c>
    </row>
    <row r="41" spans="1:11" ht="15" customHeight="1" x14ac:dyDescent="0.25">
      <c r="A41" s="81"/>
      <c r="B41" s="59"/>
      <c r="C41" s="88"/>
      <c r="D41" s="20" t="s">
        <v>26</v>
      </c>
      <c r="E41" s="21">
        <v>115.7</v>
      </c>
      <c r="F41" s="21">
        <v>0</v>
      </c>
      <c r="G41" s="21">
        <v>0</v>
      </c>
      <c r="H41" s="21">
        <f>G41*1</f>
        <v>0</v>
      </c>
      <c r="I41" s="21">
        <f>H41</f>
        <v>0</v>
      </c>
      <c r="J41" s="21">
        <f>I41</f>
        <v>0</v>
      </c>
      <c r="K41" s="21">
        <f>SUM(E41:J41)</f>
        <v>115.7</v>
      </c>
    </row>
    <row r="42" spans="1:11" ht="15" customHeight="1" x14ac:dyDescent="0.25">
      <c r="A42" s="82"/>
      <c r="B42" s="60"/>
      <c r="C42" s="89"/>
      <c r="D42" s="20" t="s">
        <v>27</v>
      </c>
      <c r="E42" s="21">
        <v>0</v>
      </c>
      <c r="F42" s="21">
        <v>0</v>
      </c>
      <c r="G42" s="21">
        <f>F42</f>
        <v>0</v>
      </c>
      <c r="H42" s="21">
        <f>G42*1</f>
        <v>0</v>
      </c>
      <c r="I42" s="21">
        <f>H42</f>
        <v>0</v>
      </c>
      <c r="J42" s="21">
        <f>I42</f>
        <v>0</v>
      </c>
      <c r="K42" s="21">
        <f>SUM(E42:J42)</f>
        <v>0</v>
      </c>
    </row>
    <row r="43" spans="1:11" ht="15" customHeight="1" x14ac:dyDescent="0.25">
      <c r="A43" s="93" t="s">
        <v>56</v>
      </c>
      <c r="B43" s="62" t="s">
        <v>79</v>
      </c>
      <c r="C43" s="87" t="s">
        <v>95</v>
      </c>
      <c r="D43" s="20" t="s">
        <v>20</v>
      </c>
      <c r="E43" s="21">
        <f>E44+E45+E46</f>
        <v>24382</v>
      </c>
      <c r="F43" s="21">
        <f t="shared" ref="F43:K43" si="15">F44+F45+F46</f>
        <v>28487</v>
      </c>
      <c r="G43" s="21">
        <f t="shared" si="15"/>
        <v>26377.100000000002</v>
      </c>
      <c r="H43" s="21">
        <f t="shared" si="15"/>
        <v>24110.800000000003</v>
      </c>
      <c r="I43" s="21">
        <f t="shared" si="15"/>
        <v>26255.5</v>
      </c>
      <c r="J43" s="21">
        <f t="shared" si="15"/>
        <v>26255.5</v>
      </c>
      <c r="K43" s="21">
        <f t="shared" si="15"/>
        <v>155867.90000000002</v>
      </c>
    </row>
    <row r="44" spans="1:11" x14ac:dyDescent="0.25">
      <c r="A44" s="81"/>
      <c r="B44" s="62"/>
      <c r="C44" s="88"/>
      <c r="D44" s="20" t="s">
        <v>91</v>
      </c>
      <c r="E44" s="21">
        <v>16182.4</v>
      </c>
      <c r="F44" s="21">
        <v>11852.5</v>
      </c>
      <c r="G44" s="21">
        <v>13997.2</v>
      </c>
      <c r="H44" s="21">
        <v>13997.2</v>
      </c>
      <c r="I44" s="21">
        <v>0</v>
      </c>
      <c r="J44" s="21">
        <v>0</v>
      </c>
      <c r="K44" s="21">
        <f>SUM(E44:J44)</f>
        <v>56029.3</v>
      </c>
    </row>
    <row r="45" spans="1:11" x14ac:dyDescent="0.25">
      <c r="A45" s="81"/>
      <c r="B45" s="62"/>
      <c r="C45" s="88"/>
      <c r="D45" s="20" t="s">
        <v>26</v>
      </c>
      <c r="E45" s="21">
        <v>4699.6000000000022</v>
      </c>
      <c r="F45" s="21">
        <f>6613.6+4156.9+2364</f>
        <v>13134.5</v>
      </c>
      <c r="G45" s="21">
        <f>6613.6+2266.3</f>
        <v>8879.9000000000015</v>
      </c>
      <c r="H45" s="21">
        <v>6613.6</v>
      </c>
      <c r="I45" s="21">
        <v>22755.5</v>
      </c>
      <c r="J45" s="21">
        <f>I45</f>
        <v>22755.5</v>
      </c>
      <c r="K45" s="21">
        <f>SUM(E45:J45)</f>
        <v>78838.600000000006</v>
      </c>
    </row>
    <row r="46" spans="1:11" x14ac:dyDescent="0.25">
      <c r="A46" s="82"/>
      <c r="B46" s="62"/>
      <c r="C46" s="89"/>
      <c r="D46" s="20" t="s">
        <v>27</v>
      </c>
      <c r="E46" s="21">
        <v>3500</v>
      </c>
      <c r="F46" s="21">
        <f>3500-F58</f>
        <v>3500</v>
      </c>
      <c r="G46" s="21">
        <f>F46</f>
        <v>3500</v>
      </c>
      <c r="H46" s="21">
        <f>G46*1</f>
        <v>3500</v>
      </c>
      <c r="I46" s="21">
        <f>H46</f>
        <v>3500</v>
      </c>
      <c r="J46" s="21">
        <f>I46</f>
        <v>3500</v>
      </c>
      <c r="K46" s="21">
        <f>SUM(E46:J46)</f>
        <v>21000</v>
      </c>
    </row>
    <row r="47" spans="1:11" ht="15" customHeight="1" x14ac:dyDescent="0.25">
      <c r="A47" s="93" t="s">
        <v>57</v>
      </c>
      <c r="B47" s="58" t="s">
        <v>80</v>
      </c>
      <c r="C47" s="87" t="s">
        <v>95</v>
      </c>
      <c r="D47" s="20" t="s">
        <v>20</v>
      </c>
      <c r="E47" s="21">
        <f>E48+E49+E50</f>
        <v>108134.1</v>
      </c>
      <c r="F47" s="21">
        <f t="shared" ref="F47:K47" si="16">F48+F49+F50</f>
        <v>102181.2</v>
      </c>
      <c r="G47" s="21">
        <f t="shared" si="16"/>
        <v>102181.2</v>
      </c>
      <c r="H47" s="21">
        <f t="shared" si="16"/>
        <v>102181.2</v>
      </c>
      <c r="I47" s="21">
        <f t="shared" si="16"/>
        <v>102181.2</v>
      </c>
      <c r="J47" s="21">
        <f t="shared" si="16"/>
        <v>102181.2</v>
      </c>
      <c r="K47" s="21">
        <f t="shared" si="16"/>
        <v>619040.1</v>
      </c>
    </row>
    <row r="48" spans="1:11" x14ac:dyDescent="0.25">
      <c r="A48" s="110"/>
      <c r="B48" s="59"/>
      <c r="C48" s="88"/>
      <c r="D48" s="20" t="s">
        <v>91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f>SUM(E48:J48)</f>
        <v>0</v>
      </c>
    </row>
    <row r="49" spans="1:11" ht="15" customHeight="1" x14ac:dyDescent="0.25">
      <c r="A49" s="110"/>
      <c r="B49" s="59"/>
      <c r="C49" s="88"/>
      <c r="D49" s="20" t="s">
        <v>26</v>
      </c>
      <c r="E49" s="21">
        <f>22906.8+227.3</f>
        <v>23134.1</v>
      </c>
      <c r="F49" s="21">
        <v>17181.2</v>
      </c>
      <c r="G49" s="21">
        <v>17181.2</v>
      </c>
      <c r="H49" s="21">
        <f>G49*1</f>
        <v>17181.2</v>
      </c>
      <c r="I49" s="21">
        <f>H49</f>
        <v>17181.2</v>
      </c>
      <c r="J49" s="21">
        <f>I49</f>
        <v>17181.2</v>
      </c>
      <c r="K49" s="21">
        <f t="shared" ref="K49:K86" si="17">SUM(E49:J49)</f>
        <v>109040.09999999999</v>
      </c>
    </row>
    <row r="50" spans="1:11" x14ac:dyDescent="0.25">
      <c r="A50" s="110"/>
      <c r="B50" s="59"/>
      <c r="C50" s="89"/>
      <c r="D50" s="20" t="s">
        <v>27</v>
      </c>
      <c r="E50" s="21">
        <f>40000+20000+25000</f>
        <v>85000</v>
      </c>
      <c r="F50" s="21">
        <f>40000+20000+25000</f>
        <v>85000</v>
      </c>
      <c r="G50" s="21">
        <f>F50</f>
        <v>85000</v>
      </c>
      <c r="H50" s="21">
        <f>G50*1</f>
        <v>85000</v>
      </c>
      <c r="I50" s="21">
        <f>H50</f>
        <v>85000</v>
      </c>
      <c r="J50" s="21">
        <f>I50</f>
        <v>85000</v>
      </c>
      <c r="K50" s="21">
        <f t="shared" si="17"/>
        <v>510000</v>
      </c>
    </row>
    <row r="51" spans="1:11" hidden="1" x14ac:dyDescent="0.25">
      <c r="A51" s="110"/>
      <c r="B51" s="59"/>
      <c r="C51" s="87" t="s">
        <v>99</v>
      </c>
      <c r="D51" s="20" t="s">
        <v>20</v>
      </c>
      <c r="E51" s="21">
        <v>0</v>
      </c>
      <c r="F51" s="21">
        <f>F52+F53+F54</f>
        <v>0</v>
      </c>
      <c r="G51" s="21">
        <v>0</v>
      </c>
      <c r="H51" s="21">
        <v>0</v>
      </c>
      <c r="I51" s="21">
        <v>0</v>
      </c>
      <c r="J51" s="21">
        <v>0</v>
      </c>
      <c r="K51" s="21">
        <f>K52+K53+K54</f>
        <v>0</v>
      </c>
    </row>
    <row r="52" spans="1:11" hidden="1" x14ac:dyDescent="0.25">
      <c r="A52" s="110"/>
      <c r="B52" s="59"/>
      <c r="C52" s="88"/>
      <c r="D52" s="20" t="s">
        <v>91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f t="shared" si="17"/>
        <v>0</v>
      </c>
    </row>
    <row r="53" spans="1:11" hidden="1" x14ac:dyDescent="0.25">
      <c r="A53" s="110"/>
      <c r="B53" s="59"/>
      <c r="C53" s="88"/>
      <c r="D53" s="20" t="s">
        <v>26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f t="shared" si="17"/>
        <v>0</v>
      </c>
    </row>
    <row r="54" spans="1:11" hidden="1" x14ac:dyDescent="0.25">
      <c r="A54" s="111"/>
      <c r="B54" s="60"/>
      <c r="C54" s="89"/>
      <c r="D54" s="20" t="s">
        <v>27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f t="shared" si="17"/>
        <v>0</v>
      </c>
    </row>
    <row r="55" spans="1:11" ht="15" customHeight="1" x14ac:dyDescent="0.25">
      <c r="A55" s="84" t="s">
        <v>58</v>
      </c>
      <c r="B55" s="90" t="s">
        <v>81</v>
      </c>
      <c r="C55" s="87" t="s">
        <v>95</v>
      </c>
      <c r="D55" s="20" t="s">
        <v>20</v>
      </c>
      <c r="E55" s="21">
        <f>E56+E57+E58</f>
        <v>12823.1</v>
      </c>
      <c r="F55" s="21">
        <f t="shared" ref="F55:K55" si="18">F56+F57+F58</f>
        <v>13947.6</v>
      </c>
      <c r="G55" s="21">
        <f t="shared" si="18"/>
        <v>14761.1</v>
      </c>
      <c r="H55" s="21">
        <f t="shared" si="18"/>
        <v>12889.1</v>
      </c>
      <c r="I55" s="21">
        <f t="shared" si="18"/>
        <v>14028.5</v>
      </c>
      <c r="J55" s="21">
        <f t="shared" si="18"/>
        <v>14028.5</v>
      </c>
      <c r="K55" s="21">
        <f t="shared" si="18"/>
        <v>82477.899999999994</v>
      </c>
    </row>
    <row r="56" spans="1:11" x14ac:dyDescent="0.25">
      <c r="A56" s="57"/>
      <c r="B56" s="90"/>
      <c r="C56" s="88"/>
      <c r="D56" s="20" t="s">
        <v>91</v>
      </c>
      <c r="E56" s="21">
        <v>7087.3</v>
      </c>
      <c r="F56" s="21">
        <v>5296</v>
      </c>
      <c r="G56" s="21">
        <v>6435.5</v>
      </c>
      <c r="H56" s="21">
        <v>6435.5</v>
      </c>
      <c r="I56" s="21">
        <v>0</v>
      </c>
      <c r="J56" s="21">
        <v>0</v>
      </c>
      <c r="K56" s="21">
        <f t="shared" si="17"/>
        <v>25254.3</v>
      </c>
    </row>
    <row r="57" spans="1:11" x14ac:dyDescent="0.25">
      <c r="A57" s="57"/>
      <c r="B57" s="90"/>
      <c r="C57" s="88"/>
      <c r="D57" s="20" t="s">
        <v>26</v>
      </c>
      <c r="E57" s="21">
        <v>5735.8</v>
      </c>
      <c r="F57" s="21">
        <f>6453.6+2198</f>
        <v>8651.6</v>
      </c>
      <c r="G57" s="21">
        <f>6453.6+1872</f>
        <v>8325.6</v>
      </c>
      <c r="H57" s="21">
        <v>6453.6</v>
      </c>
      <c r="I57" s="21">
        <v>14028.5</v>
      </c>
      <c r="J57" s="21">
        <f>I57</f>
        <v>14028.5</v>
      </c>
      <c r="K57" s="21">
        <f t="shared" si="17"/>
        <v>57223.6</v>
      </c>
    </row>
    <row r="58" spans="1:11" x14ac:dyDescent="0.25">
      <c r="A58" s="57"/>
      <c r="B58" s="90"/>
      <c r="C58" s="89"/>
      <c r="D58" s="20" t="s">
        <v>27</v>
      </c>
      <c r="E58" s="21">
        <v>0</v>
      </c>
      <c r="F58" s="21">
        <v>0</v>
      </c>
      <c r="G58" s="21">
        <f>F58</f>
        <v>0</v>
      </c>
      <c r="H58" s="21">
        <f>G58*1</f>
        <v>0</v>
      </c>
      <c r="I58" s="21">
        <f>H58</f>
        <v>0</v>
      </c>
      <c r="J58" s="21">
        <f>I58</f>
        <v>0</v>
      </c>
      <c r="K58" s="21">
        <f t="shared" si="17"/>
        <v>0</v>
      </c>
    </row>
    <row r="59" spans="1:11" ht="24.75" customHeight="1" x14ac:dyDescent="0.25">
      <c r="A59" s="84" t="s">
        <v>59</v>
      </c>
      <c r="B59" s="62" t="s">
        <v>82</v>
      </c>
      <c r="C59" s="87" t="s">
        <v>95</v>
      </c>
      <c r="D59" s="20" t="s">
        <v>20</v>
      </c>
      <c r="E59" s="21">
        <f>E60+E61+E62</f>
        <v>16976</v>
      </c>
      <c r="F59" s="21">
        <f t="shared" ref="F59:K59" si="19">F60+F61+F62</f>
        <v>14276</v>
      </c>
      <c r="G59" s="21">
        <f t="shared" si="19"/>
        <v>14276</v>
      </c>
      <c r="H59" s="21">
        <f t="shared" si="19"/>
        <v>14276</v>
      </c>
      <c r="I59" s="21">
        <f t="shared" si="19"/>
        <v>14276</v>
      </c>
      <c r="J59" s="21">
        <f t="shared" si="19"/>
        <v>14276</v>
      </c>
      <c r="K59" s="21">
        <f t="shared" si="19"/>
        <v>88356</v>
      </c>
    </row>
    <row r="60" spans="1:11" ht="18.75" customHeight="1" x14ac:dyDescent="0.25">
      <c r="A60" s="57"/>
      <c r="B60" s="62"/>
      <c r="C60" s="88"/>
      <c r="D60" s="20" t="s">
        <v>91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f t="shared" si="17"/>
        <v>0</v>
      </c>
    </row>
    <row r="61" spans="1:11" ht="17.25" customHeight="1" x14ac:dyDescent="0.25">
      <c r="A61" s="57"/>
      <c r="B61" s="62"/>
      <c r="C61" s="88"/>
      <c r="D61" s="20" t="s">
        <v>26</v>
      </c>
      <c r="E61" s="21">
        <f>14276+1200+1500</f>
        <v>16976</v>
      </c>
      <c r="F61" s="21">
        <v>14276</v>
      </c>
      <c r="G61" s="21">
        <v>14276</v>
      </c>
      <c r="H61" s="21">
        <f>G61*1</f>
        <v>14276</v>
      </c>
      <c r="I61" s="21">
        <f>H61</f>
        <v>14276</v>
      </c>
      <c r="J61" s="21">
        <f>I61</f>
        <v>14276</v>
      </c>
      <c r="K61" s="21">
        <f t="shared" si="17"/>
        <v>88356</v>
      </c>
    </row>
    <row r="62" spans="1:11" ht="15.75" customHeight="1" x14ac:dyDescent="0.25">
      <c r="A62" s="57"/>
      <c r="B62" s="62"/>
      <c r="C62" s="89"/>
      <c r="D62" s="20" t="s">
        <v>27</v>
      </c>
      <c r="E62" s="21">
        <v>0</v>
      </c>
      <c r="F62" s="21">
        <v>0</v>
      </c>
      <c r="G62" s="21">
        <f>F62</f>
        <v>0</v>
      </c>
      <c r="H62" s="21">
        <f>G62*1.04</f>
        <v>0</v>
      </c>
      <c r="I62" s="21">
        <f>H62</f>
        <v>0</v>
      </c>
      <c r="J62" s="21">
        <f>I62</f>
        <v>0</v>
      </c>
      <c r="K62" s="21">
        <f t="shared" si="17"/>
        <v>0</v>
      </c>
    </row>
    <row r="63" spans="1:11" ht="23.25" customHeight="1" x14ac:dyDescent="0.25">
      <c r="A63" s="84" t="s">
        <v>60</v>
      </c>
      <c r="B63" s="62" t="s">
        <v>83</v>
      </c>
      <c r="C63" s="87" t="s">
        <v>95</v>
      </c>
      <c r="D63" s="20" t="s">
        <v>20</v>
      </c>
      <c r="E63" s="21">
        <f>E64+E65+E66</f>
        <v>1304</v>
      </c>
      <c r="F63" s="21">
        <f t="shared" ref="F63:K63" si="20">F64+F65+F66</f>
        <v>2504</v>
      </c>
      <c r="G63" s="21">
        <f t="shared" si="20"/>
        <v>2504</v>
      </c>
      <c r="H63" s="21">
        <f t="shared" si="20"/>
        <v>2504</v>
      </c>
      <c r="I63" s="21">
        <f t="shared" si="20"/>
        <v>2504</v>
      </c>
      <c r="J63" s="21">
        <f t="shared" si="20"/>
        <v>2504</v>
      </c>
      <c r="K63" s="21">
        <f t="shared" si="20"/>
        <v>13824</v>
      </c>
    </row>
    <row r="64" spans="1:11" ht="23.25" customHeight="1" x14ac:dyDescent="0.25">
      <c r="A64" s="57"/>
      <c r="B64" s="62"/>
      <c r="C64" s="88"/>
      <c r="D64" s="20" t="s">
        <v>91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f t="shared" si="17"/>
        <v>0</v>
      </c>
    </row>
    <row r="65" spans="1:11" ht="22.5" customHeight="1" x14ac:dyDescent="0.25">
      <c r="A65" s="57"/>
      <c r="B65" s="62"/>
      <c r="C65" s="88"/>
      <c r="D65" s="20" t="s">
        <v>26</v>
      </c>
      <c r="E65" s="21">
        <f>2504-1200</f>
        <v>1304</v>
      </c>
      <c r="F65" s="21">
        <v>2504</v>
      </c>
      <c r="G65" s="21">
        <v>2504</v>
      </c>
      <c r="H65" s="21">
        <f>G65*1</f>
        <v>2504</v>
      </c>
      <c r="I65" s="21">
        <f>H65</f>
        <v>2504</v>
      </c>
      <c r="J65" s="21">
        <f>I65</f>
        <v>2504</v>
      </c>
      <c r="K65" s="21">
        <f t="shared" si="17"/>
        <v>13824</v>
      </c>
    </row>
    <row r="66" spans="1:11" ht="21.75" customHeight="1" x14ac:dyDescent="0.25">
      <c r="A66" s="57"/>
      <c r="B66" s="62"/>
      <c r="C66" s="89"/>
      <c r="D66" s="20" t="s">
        <v>27</v>
      </c>
      <c r="E66" s="21">
        <v>0</v>
      </c>
      <c r="F66" s="21">
        <v>0</v>
      </c>
      <c r="G66" s="21">
        <v>0</v>
      </c>
      <c r="H66" s="21">
        <f>G66*1.04</f>
        <v>0</v>
      </c>
      <c r="I66" s="21">
        <f>H66</f>
        <v>0</v>
      </c>
      <c r="J66" s="21">
        <f>I66</f>
        <v>0</v>
      </c>
      <c r="K66" s="21">
        <f t="shared" si="17"/>
        <v>0</v>
      </c>
    </row>
    <row r="67" spans="1:11" ht="18" customHeight="1" x14ac:dyDescent="0.25">
      <c r="A67" s="84" t="s">
        <v>61</v>
      </c>
      <c r="B67" s="62" t="s">
        <v>87</v>
      </c>
      <c r="C67" s="85" t="s">
        <v>95</v>
      </c>
      <c r="D67" s="20" t="s">
        <v>20</v>
      </c>
      <c r="E67" s="21">
        <f>E68+E69+E70</f>
        <v>98473.2</v>
      </c>
      <c r="F67" s="21">
        <f t="shared" ref="F67:K67" si="21">F68+F69+F70</f>
        <v>45000</v>
      </c>
      <c r="G67" s="21">
        <f t="shared" si="21"/>
        <v>0</v>
      </c>
      <c r="H67" s="21">
        <f t="shared" si="21"/>
        <v>0</v>
      </c>
      <c r="I67" s="21">
        <f t="shared" si="21"/>
        <v>0</v>
      </c>
      <c r="J67" s="21">
        <f t="shared" si="21"/>
        <v>0</v>
      </c>
      <c r="K67" s="21">
        <f t="shared" si="21"/>
        <v>143473.20000000001</v>
      </c>
    </row>
    <row r="68" spans="1:11" x14ac:dyDescent="0.25">
      <c r="A68" s="57"/>
      <c r="B68" s="62"/>
      <c r="C68" s="86"/>
      <c r="D68" s="20" t="s">
        <v>91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f t="shared" si="17"/>
        <v>0</v>
      </c>
    </row>
    <row r="69" spans="1:11" x14ac:dyDescent="0.25">
      <c r="A69" s="57"/>
      <c r="B69" s="62"/>
      <c r="C69" s="86"/>
      <c r="D69" s="20" t="s">
        <v>26</v>
      </c>
      <c r="E69" s="21">
        <v>98473.2</v>
      </c>
      <c r="F69" s="21">
        <f>20000+2000+14000+9000</f>
        <v>45000</v>
      </c>
      <c r="G69" s="21">
        <v>0</v>
      </c>
      <c r="H69" s="21">
        <f>G69*1</f>
        <v>0</v>
      </c>
      <c r="I69" s="21">
        <f>H69</f>
        <v>0</v>
      </c>
      <c r="J69" s="21">
        <f>I69</f>
        <v>0</v>
      </c>
      <c r="K69" s="21">
        <f t="shared" si="17"/>
        <v>143473.20000000001</v>
      </c>
    </row>
    <row r="70" spans="1:11" x14ac:dyDescent="0.25">
      <c r="A70" s="57"/>
      <c r="B70" s="62"/>
      <c r="C70" s="86"/>
      <c r="D70" s="20" t="s">
        <v>27</v>
      </c>
      <c r="E70" s="21">
        <v>0</v>
      </c>
      <c r="F70" s="21">
        <v>0</v>
      </c>
      <c r="G70" s="21">
        <v>0</v>
      </c>
      <c r="H70" s="21">
        <f>G70*1.04</f>
        <v>0</v>
      </c>
      <c r="I70" s="21">
        <f>H70</f>
        <v>0</v>
      </c>
      <c r="J70" s="21">
        <f>I70</f>
        <v>0</v>
      </c>
      <c r="K70" s="21">
        <f t="shared" si="17"/>
        <v>0</v>
      </c>
    </row>
    <row r="71" spans="1:11" x14ac:dyDescent="0.25">
      <c r="A71" s="84" t="s">
        <v>66</v>
      </c>
      <c r="B71" s="62" t="s">
        <v>88</v>
      </c>
      <c r="C71" s="85" t="s">
        <v>95</v>
      </c>
      <c r="D71" s="20" t="s">
        <v>20</v>
      </c>
      <c r="E71" s="21">
        <f>E72+E73+E74</f>
        <v>3600</v>
      </c>
      <c r="F71" s="21">
        <f t="shared" ref="F71:K71" si="22">F72+F73+F74</f>
        <v>3600</v>
      </c>
      <c r="G71" s="21">
        <f t="shared" si="22"/>
        <v>3600</v>
      </c>
      <c r="H71" s="21">
        <f t="shared" si="22"/>
        <v>3600</v>
      </c>
      <c r="I71" s="21">
        <f t="shared" si="22"/>
        <v>3600</v>
      </c>
      <c r="J71" s="21">
        <f t="shared" si="22"/>
        <v>3600</v>
      </c>
      <c r="K71" s="21">
        <f t="shared" si="22"/>
        <v>21600</v>
      </c>
    </row>
    <row r="72" spans="1:11" x14ac:dyDescent="0.25">
      <c r="A72" s="57"/>
      <c r="B72" s="62"/>
      <c r="C72" s="86"/>
      <c r="D72" s="20" t="s">
        <v>91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f t="shared" si="17"/>
        <v>0</v>
      </c>
    </row>
    <row r="73" spans="1:11" x14ac:dyDescent="0.25">
      <c r="A73" s="57"/>
      <c r="B73" s="62"/>
      <c r="C73" s="86"/>
      <c r="D73" s="20" t="s">
        <v>26</v>
      </c>
      <c r="E73" s="21">
        <v>3600</v>
      </c>
      <c r="F73" s="21">
        <v>3600</v>
      </c>
      <c r="G73" s="21">
        <v>3600</v>
      </c>
      <c r="H73" s="21">
        <v>3600</v>
      </c>
      <c r="I73" s="21">
        <v>3600</v>
      </c>
      <c r="J73" s="21">
        <v>3600</v>
      </c>
      <c r="K73" s="21">
        <f t="shared" si="17"/>
        <v>21600</v>
      </c>
    </row>
    <row r="74" spans="1:11" x14ac:dyDescent="0.25">
      <c r="A74" s="57"/>
      <c r="B74" s="62"/>
      <c r="C74" s="86"/>
      <c r="D74" s="20" t="s">
        <v>27</v>
      </c>
      <c r="E74" s="21">
        <v>0</v>
      </c>
      <c r="F74" s="21">
        <v>0</v>
      </c>
      <c r="G74" s="21">
        <v>0</v>
      </c>
      <c r="H74" s="21">
        <f>G74*1.04</f>
        <v>0</v>
      </c>
      <c r="I74" s="21">
        <f>H74</f>
        <v>0</v>
      </c>
      <c r="J74" s="21">
        <f>I74</f>
        <v>0</v>
      </c>
      <c r="K74" s="21">
        <f t="shared" si="17"/>
        <v>0</v>
      </c>
    </row>
    <row r="75" spans="1:11" ht="22.5" customHeight="1" x14ac:dyDescent="0.25">
      <c r="A75" s="93" t="s">
        <v>69</v>
      </c>
      <c r="B75" s="58" t="s">
        <v>89</v>
      </c>
      <c r="C75" s="87" t="s">
        <v>95</v>
      </c>
      <c r="D75" s="20" t="s">
        <v>20</v>
      </c>
      <c r="E75" s="21">
        <f>E76+E77+E78</f>
        <v>214227.5</v>
      </c>
      <c r="F75" s="21">
        <f t="shared" ref="F75:K75" si="23">F76+F77+F78</f>
        <v>203634.6</v>
      </c>
      <c r="G75" s="21">
        <f t="shared" si="23"/>
        <v>228526</v>
      </c>
      <c r="H75" s="21">
        <f t="shared" si="23"/>
        <v>196354.3</v>
      </c>
      <c r="I75" s="21">
        <f t="shared" si="23"/>
        <v>216511.3</v>
      </c>
      <c r="J75" s="21">
        <f t="shared" si="23"/>
        <v>216511.3</v>
      </c>
      <c r="K75" s="21">
        <f t="shared" si="23"/>
        <v>1275765</v>
      </c>
    </row>
    <row r="76" spans="1:11" ht="21" customHeight="1" x14ac:dyDescent="0.25">
      <c r="A76" s="110"/>
      <c r="B76" s="59"/>
      <c r="C76" s="94"/>
      <c r="D76" s="20" t="s">
        <v>91</v>
      </c>
      <c r="E76" s="21">
        <v>111248.9</v>
      </c>
      <c r="F76" s="21">
        <v>73569.3</v>
      </c>
      <c r="G76" s="21">
        <v>93727</v>
      </c>
      <c r="H76" s="21">
        <v>93727</v>
      </c>
      <c r="I76" s="21">
        <v>0</v>
      </c>
      <c r="J76" s="21">
        <v>0</v>
      </c>
      <c r="K76" s="21">
        <f t="shared" si="17"/>
        <v>372272.2</v>
      </c>
    </row>
    <row r="77" spans="1:11" ht="20.25" customHeight="1" x14ac:dyDescent="0.25">
      <c r="A77" s="110"/>
      <c r="B77" s="59"/>
      <c r="C77" s="94"/>
      <c r="D77" s="20" t="s">
        <v>26</v>
      </c>
      <c r="E77" s="21">
        <f>60523.6+5113.3-5113.3+400</f>
        <v>60923.599999999991</v>
      </c>
      <c r="F77" s="21">
        <f>65572.3+22438</f>
        <v>88010.3</v>
      </c>
      <c r="G77" s="53">
        <f>60572.3+32171.7</f>
        <v>92744</v>
      </c>
      <c r="H77" s="21">
        <v>60572.3</v>
      </c>
      <c r="I77" s="21">
        <v>174456.3</v>
      </c>
      <c r="J77" s="21">
        <f>I77</f>
        <v>174456.3</v>
      </c>
      <c r="K77" s="21">
        <f t="shared" si="17"/>
        <v>651162.80000000005</v>
      </c>
    </row>
    <row r="78" spans="1:11" ht="18" customHeight="1" x14ac:dyDescent="0.25">
      <c r="A78" s="110"/>
      <c r="B78" s="59"/>
      <c r="C78" s="95"/>
      <c r="D78" s="20" t="s">
        <v>27</v>
      </c>
      <c r="E78" s="21">
        <f>2100+1900+14000+5500+610+45+1000+16900</f>
        <v>42055</v>
      </c>
      <c r="F78" s="21">
        <f>2100+1900+14000+5500+610+45+1000+16900</f>
        <v>42055</v>
      </c>
      <c r="G78" s="21">
        <f>F78</f>
        <v>42055</v>
      </c>
      <c r="H78" s="21">
        <f>G78*1</f>
        <v>42055</v>
      </c>
      <c r="I78" s="21">
        <f>H78</f>
        <v>42055</v>
      </c>
      <c r="J78" s="21">
        <f>I78</f>
        <v>42055</v>
      </c>
      <c r="K78" s="21">
        <f t="shared" si="17"/>
        <v>252330</v>
      </c>
    </row>
    <row r="79" spans="1:11" ht="18" hidden="1" customHeight="1" x14ac:dyDescent="0.25">
      <c r="A79" s="110"/>
      <c r="B79" s="59"/>
      <c r="C79" s="87" t="s">
        <v>99</v>
      </c>
      <c r="D79" s="20" t="s">
        <v>20</v>
      </c>
      <c r="E79" s="21">
        <v>0</v>
      </c>
      <c r="F79" s="21">
        <f>F80+F81+F82</f>
        <v>0</v>
      </c>
      <c r="G79" s="21">
        <v>0</v>
      </c>
      <c r="H79" s="21">
        <v>0</v>
      </c>
      <c r="I79" s="21">
        <v>0</v>
      </c>
      <c r="J79" s="21">
        <v>0</v>
      </c>
      <c r="K79" s="21">
        <f>K80+K81+K82</f>
        <v>0</v>
      </c>
    </row>
    <row r="80" spans="1:11" ht="18" hidden="1" customHeight="1" x14ac:dyDescent="0.25">
      <c r="A80" s="110"/>
      <c r="B80" s="59"/>
      <c r="C80" s="88"/>
      <c r="D80" s="20" t="s">
        <v>91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f t="shared" si="17"/>
        <v>0</v>
      </c>
    </row>
    <row r="81" spans="1:12" ht="18" hidden="1" customHeight="1" x14ac:dyDescent="0.25">
      <c r="A81" s="110"/>
      <c r="B81" s="59"/>
      <c r="C81" s="88"/>
      <c r="D81" s="20" t="s">
        <v>26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f t="shared" si="17"/>
        <v>0</v>
      </c>
    </row>
    <row r="82" spans="1:12" ht="18" hidden="1" customHeight="1" x14ac:dyDescent="0.25">
      <c r="A82" s="111"/>
      <c r="B82" s="60"/>
      <c r="C82" s="89"/>
      <c r="D82" s="20" t="s">
        <v>27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f t="shared" si="17"/>
        <v>0</v>
      </c>
    </row>
    <row r="83" spans="1:12" x14ac:dyDescent="0.25">
      <c r="A83" s="84" t="s">
        <v>92</v>
      </c>
      <c r="B83" s="92" t="s">
        <v>98</v>
      </c>
      <c r="C83" s="87" t="s">
        <v>95</v>
      </c>
      <c r="D83" s="20" t="s">
        <v>20</v>
      </c>
      <c r="E83" s="21">
        <f>E84+E85+E86</f>
        <v>13104.300000000001</v>
      </c>
      <c r="F83" s="21">
        <f t="shared" ref="F83:K83" si="24">F84+F85+F86</f>
        <v>13055.1</v>
      </c>
      <c r="G83" s="21">
        <f t="shared" si="24"/>
        <v>13055.1</v>
      </c>
      <c r="H83" s="21">
        <f t="shared" si="24"/>
        <v>13055.1</v>
      </c>
      <c r="I83" s="21">
        <f t="shared" si="24"/>
        <v>13055.1</v>
      </c>
      <c r="J83" s="21">
        <f t="shared" si="24"/>
        <v>13055.1</v>
      </c>
      <c r="K83" s="21">
        <f t="shared" si="24"/>
        <v>78379.8</v>
      </c>
    </row>
    <row r="84" spans="1:12" x14ac:dyDescent="0.25">
      <c r="A84" s="57"/>
      <c r="B84" s="59"/>
      <c r="C84" s="94"/>
      <c r="D84" s="20" t="s">
        <v>91</v>
      </c>
      <c r="E84" s="21">
        <v>49.2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f t="shared" si="17"/>
        <v>49.2</v>
      </c>
    </row>
    <row r="85" spans="1:12" x14ac:dyDescent="0.25">
      <c r="A85" s="57"/>
      <c r="B85" s="59"/>
      <c r="C85" s="94"/>
      <c r="D85" s="20" t="s">
        <v>26</v>
      </c>
      <c r="E85" s="21">
        <f>13025.1+30</f>
        <v>13055.1</v>
      </c>
      <c r="F85" s="21">
        <f>13025.1+30</f>
        <v>13055.1</v>
      </c>
      <c r="G85" s="21">
        <f>13025.1+30</f>
        <v>13055.1</v>
      </c>
      <c r="H85" s="21">
        <f>G85*1</f>
        <v>13055.1</v>
      </c>
      <c r="I85" s="21">
        <f>H85</f>
        <v>13055.1</v>
      </c>
      <c r="J85" s="21">
        <f>I85</f>
        <v>13055.1</v>
      </c>
      <c r="K85" s="21">
        <f t="shared" si="17"/>
        <v>78330.600000000006</v>
      </c>
    </row>
    <row r="86" spans="1:12" x14ac:dyDescent="0.25">
      <c r="A86" s="57"/>
      <c r="B86" s="60"/>
      <c r="C86" s="95"/>
      <c r="D86" s="20" t="s">
        <v>27</v>
      </c>
      <c r="E86" s="21">
        <v>0</v>
      </c>
      <c r="F86" s="21">
        <v>0</v>
      </c>
      <c r="G86" s="21">
        <v>0</v>
      </c>
      <c r="H86" s="21">
        <f>G86*1.04</f>
        <v>0</v>
      </c>
      <c r="I86" s="21">
        <f>H86</f>
        <v>0</v>
      </c>
      <c r="J86" s="21">
        <f>I86</f>
        <v>0</v>
      </c>
      <c r="K86" s="21">
        <f t="shared" si="17"/>
        <v>0</v>
      </c>
    </row>
    <row r="88" spans="1:12" ht="19.5" x14ac:dyDescent="0.25">
      <c r="A88" s="91" t="s">
        <v>96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49"/>
    </row>
    <row r="89" spans="1:12" ht="16.5" x14ac:dyDescent="0.25">
      <c r="A89" s="37" t="s">
        <v>97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49"/>
    </row>
    <row r="90" spans="1:12" ht="19.5" x14ac:dyDescent="0.25">
      <c r="A90" s="50" t="s">
        <v>93</v>
      </c>
      <c r="B90" s="38"/>
      <c r="C90" s="38"/>
      <c r="D90" s="38"/>
      <c r="E90" s="43"/>
      <c r="F90" s="43"/>
      <c r="G90" s="43"/>
      <c r="H90" s="43"/>
      <c r="I90" s="43"/>
      <c r="J90" s="43"/>
      <c r="K90" s="43"/>
    </row>
    <row r="91" spans="1:12" ht="16.5" x14ac:dyDescent="0.25">
      <c r="A91" s="50" t="s">
        <v>94</v>
      </c>
      <c r="B91" s="38"/>
      <c r="C91" s="38"/>
      <c r="D91" s="38"/>
      <c r="E91" s="38"/>
      <c r="F91" s="38"/>
      <c r="G91" s="38"/>
      <c r="H91" s="38"/>
      <c r="I91" s="38"/>
      <c r="J91" s="38"/>
      <c r="K91" s="43"/>
    </row>
    <row r="92" spans="1:12" ht="16.5" x14ac:dyDescent="0.25">
      <c r="A92" s="50" t="s">
        <v>101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2" x14ac:dyDescent="0.25">
      <c r="K93" s="35" t="s">
        <v>102</v>
      </c>
    </row>
  </sheetData>
  <mergeCells count="55">
    <mergeCell ref="B75:B82"/>
    <mergeCell ref="A75:A82"/>
    <mergeCell ref="C63:C66"/>
    <mergeCell ref="C75:C78"/>
    <mergeCell ref="A59:A62"/>
    <mergeCell ref="I1:K4"/>
    <mergeCell ref="A39:A42"/>
    <mergeCell ref="B39:B42"/>
    <mergeCell ref="C39:C42"/>
    <mergeCell ref="C27:C30"/>
    <mergeCell ref="C11:C13"/>
    <mergeCell ref="I5:K5"/>
    <mergeCell ref="B31:B38"/>
    <mergeCell ref="A31:A38"/>
    <mergeCell ref="C31:C34"/>
    <mergeCell ref="I6:K6"/>
    <mergeCell ref="D11:D13"/>
    <mergeCell ref="C15:C18"/>
    <mergeCell ref="I7:K7"/>
    <mergeCell ref="A9:K9"/>
    <mergeCell ref="A11:A13"/>
    <mergeCell ref="B11:B13"/>
    <mergeCell ref="E11:K12"/>
    <mergeCell ref="B15:B26"/>
    <mergeCell ref="A15:A26"/>
    <mergeCell ref="C19:C22"/>
    <mergeCell ref="A67:A70"/>
    <mergeCell ref="B67:B70"/>
    <mergeCell ref="B59:B62"/>
    <mergeCell ref="A55:A58"/>
    <mergeCell ref="C55:C58"/>
    <mergeCell ref="C35:C38"/>
    <mergeCell ref="C47:C50"/>
    <mergeCell ref="B43:B46"/>
    <mergeCell ref="A27:A30"/>
    <mergeCell ref="A43:A46"/>
    <mergeCell ref="C51:C54"/>
    <mergeCell ref="C83:C86"/>
    <mergeCell ref="C59:C62"/>
    <mergeCell ref="A83:A86"/>
    <mergeCell ref="C23:C26"/>
    <mergeCell ref="B27:B30"/>
    <mergeCell ref="A47:A54"/>
    <mergeCell ref="B47:B54"/>
    <mergeCell ref="C79:C82"/>
    <mergeCell ref="A63:A66"/>
    <mergeCell ref="C67:C70"/>
    <mergeCell ref="B63:B66"/>
    <mergeCell ref="C43:C46"/>
    <mergeCell ref="B55:B58"/>
    <mergeCell ref="A88:K88"/>
    <mergeCell ref="A71:A74"/>
    <mergeCell ref="B71:B74"/>
    <mergeCell ref="C71:C74"/>
    <mergeCell ref="B83:B86"/>
  </mergeCells>
  <pageMargins left="0" right="0" top="0.78740157480314965" bottom="0.39370078740157483" header="0.59055118110236227" footer="0.51181102362204722"/>
  <pageSetup paperSize="9" scale="83" fitToHeight="3" orientation="landscape" r:id="rId1"/>
  <headerFooter differentFirst="1">
    <oddHeader>&amp;C&amp;P</oddHeader>
  </headerFooter>
  <rowBreaks count="2" manualBreakCount="2">
    <brk id="38" max="10" man="1"/>
    <brk id="7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Прогноз хар-к</vt:lpstr>
      <vt:lpstr>Прогноз хар-к 05.2019</vt:lpstr>
      <vt:lpstr>Прогноз хар-к 06.2019</vt:lpstr>
      <vt:lpstr>Прогноз хар-к 09.2019</vt:lpstr>
      <vt:lpstr>Приложение №3 к МП</vt:lpstr>
      <vt:lpstr>Пр №3 к МП</vt:lpstr>
      <vt:lpstr>'Пр №3 к МП'!Заголовки_для_печати</vt:lpstr>
      <vt:lpstr>'Приложение №3 к МП'!Заголовки_для_печати</vt:lpstr>
      <vt:lpstr>'Пр №3 к МП'!Область_печати</vt:lpstr>
      <vt:lpstr>'Приложение №3 к МП'!Область_печати</vt:lpstr>
      <vt:lpstr>'Прогноз хар-к'!Область_печати</vt:lpstr>
      <vt:lpstr>'Прогноз хар-к 05.2019'!Область_печати</vt:lpstr>
      <vt:lpstr>'Прогноз хар-к 06.2019'!Область_печати</vt:lpstr>
      <vt:lpstr>'Прогноз хар-к 09.2019'!Область_печати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2026-08-10T08:58:20Z</dcterms:modified>
</cp:coreProperties>
</file>